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0" yWindow="-240" windowWidth="15450" windowHeight="5055" tabRatio="688"/>
  </bookViews>
  <sheets>
    <sheet name="README" sheetId="72" r:id="rId1"/>
    <sheet name="BLANK NLM - Metric" sheetId="70" r:id="rId2"/>
    <sheet name="BLANK NLM - English" sheetId="73" r:id="rId3"/>
    <sheet name="Rehoboth" sheetId="1" r:id="rId4"/>
    <sheet name="Indian River" sheetId="40" r:id="rId5"/>
    <sheet name="Little Assawoman" sheetId="41" r:id="rId6"/>
    <sheet name="Assawoman" sheetId="42" r:id="rId7"/>
    <sheet name="St. Martins" sheetId="43" r:id="rId8"/>
    <sheet name="Turville" sheetId="44" r:id="rId9"/>
    <sheet name="Isle of Wight" sheetId="47" r:id="rId10"/>
    <sheet name="Sinepuxent" sheetId="46" r:id="rId11"/>
    <sheet name="Newport" sheetId="45" r:id="rId12"/>
    <sheet name="Chincoteague" sheetId="48" r:id="rId13"/>
    <sheet name="Mosquito" sheetId="49" r:id="rId14"/>
    <sheet name="Simoneaston" sheetId="50" r:id="rId15"/>
    <sheet name="Bogues" sheetId="51" r:id="rId16"/>
    <sheet name="Oyster-Womans" sheetId="52" r:id="rId17"/>
    <sheet name="Kegotank" sheetId="53" r:id="rId18"/>
    <sheet name="Gargathy" sheetId="54" r:id="rId19"/>
    <sheet name="Metompkin" sheetId="55" r:id="rId20"/>
    <sheet name="North Burtons" sheetId="56" r:id="rId21"/>
    <sheet name="Burtons" sheetId="57" r:id="rId22"/>
    <sheet name="Bradford" sheetId="59" r:id="rId23"/>
    <sheet name="Upshur" sheetId="60" r:id="rId24"/>
    <sheet name="Hog Island" sheetId="66" r:id="rId25"/>
    <sheet name="Ramshorn" sheetId="61" r:id="rId26"/>
    <sheet name="Mockhorn" sheetId="64" r:id="rId27"/>
    <sheet name="Magothy" sheetId="62" r:id="rId28"/>
    <sheet name="SUMMARY" sheetId="71" r:id="rId29"/>
  </sheets>
  <definedNames>
    <definedName name="_xlnm._FilterDatabase" localSheetId="28" hidden="1">SUMMARY!#REF!</definedName>
    <definedName name="_xlnm.Print_Area" localSheetId="6">Assawoman!$N$22:$R$69</definedName>
    <definedName name="_xlnm.Print_Area" localSheetId="2">'BLANK NLM - English'!$P$22:$T$69</definedName>
    <definedName name="_xlnm.Print_Area" localSheetId="1">'BLANK NLM - Metric'!$N$22:$R$69</definedName>
    <definedName name="_xlnm.Print_Area" localSheetId="15">Bogues!$N$22:$R$69</definedName>
    <definedName name="_xlnm.Print_Area" localSheetId="22">Bradford!$N$22:$R$69</definedName>
    <definedName name="_xlnm.Print_Area" localSheetId="21">Burtons!$N$22:$R$69</definedName>
    <definedName name="_xlnm.Print_Area" localSheetId="12">Chincoteague!$N$22:$R$69</definedName>
    <definedName name="_xlnm.Print_Area" localSheetId="18">Gargathy!$N$22:$R$69</definedName>
    <definedName name="_xlnm.Print_Area" localSheetId="24">'Hog Island'!$N$22:$R$69</definedName>
    <definedName name="_xlnm.Print_Area" localSheetId="4">'Indian River'!$N$22:$R$69</definedName>
    <definedName name="_xlnm.Print_Area" localSheetId="9">'Isle of Wight'!$N$22:$R$69</definedName>
    <definedName name="_xlnm.Print_Area" localSheetId="17">Kegotank!$N$22:$R$69</definedName>
    <definedName name="_xlnm.Print_Area" localSheetId="5">'Little Assawoman'!$N$22:$R$69</definedName>
    <definedName name="_xlnm.Print_Area" localSheetId="27">Magothy!$N$22:$R$69</definedName>
    <definedName name="_xlnm.Print_Area" localSheetId="19">Metompkin!$N$22:$R$69</definedName>
    <definedName name="_xlnm.Print_Area" localSheetId="26">Mockhorn!$N$22:$R$69</definedName>
    <definedName name="_xlnm.Print_Area" localSheetId="13">Mosquito!$N$22:$R$69</definedName>
    <definedName name="_xlnm.Print_Area" localSheetId="11">Newport!$N$22:$R$69</definedName>
    <definedName name="_xlnm.Print_Area" localSheetId="20">'North Burtons'!$N$22:$R$69</definedName>
    <definedName name="_xlnm.Print_Area" localSheetId="16">'Oyster-Womans'!$N$22:$R$69</definedName>
    <definedName name="_xlnm.Print_Area" localSheetId="25">Ramshorn!$N$22:$R$69</definedName>
    <definedName name="_xlnm.Print_Area" localSheetId="3">Rehoboth!$N$22:$R$69</definedName>
    <definedName name="_xlnm.Print_Area" localSheetId="14">Simoneaston!$N$22:$R$69</definedName>
    <definedName name="_xlnm.Print_Area" localSheetId="10">Sinepuxent!$N$22:$R$69</definedName>
    <definedName name="_xlnm.Print_Area" localSheetId="7">'St. Martins'!$N$22:$R$69</definedName>
    <definedName name="_xlnm.Print_Area" localSheetId="8">Turville!$N$22:$R$69</definedName>
    <definedName name="_xlnm.Print_Area" localSheetId="23">Upshur!$N$22:$R$69</definedName>
  </definedNames>
  <calcPr calcId="145621"/>
</workbook>
</file>

<file path=xl/calcChain.xml><?xml version="1.0" encoding="utf-8"?>
<calcChain xmlns="http://schemas.openxmlformats.org/spreadsheetml/2006/main">
  <c r="E58" i="73" l="1"/>
  <c r="E60" i="73"/>
  <c r="E51" i="73" l="1"/>
  <c r="E48" i="73"/>
  <c r="E49" i="73"/>
  <c r="E50" i="73"/>
  <c r="M45" i="73" s="1"/>
  <c r="M51" i="73"/>
  <c r="E52" i="73"/>
  <c r="E53" i="73"/>
  <c r="E54" i="73"/>
  <c r="E55" i="73"/>
  <c r="E56" i="73"/>
  <c r="E37" i="73"/>
  <c r="E38" i="73"/>
  <c r="E39" i="73"/>
  <c r="M44" i="73" s="1"/>
  <c r="E40" i="73"/>
  <c r="E41" i="73"/>
  <c r="E42" i="73"/>
  <c r="E43" i="73"/>
  <c r="E44" i="73"/>
  <c r="M75" i="73" s="1"/>
  <c r="E45" i="73"/>
  <c r="E35" i="73"/>
  <c r="E10" i="73"/>
  <c r="E12" i="73"/>
  <c r="M20" i="73" s="1"/>
  <c r="E11" i="73"/>
  <c r="E14" i="73"/>
  <c r="E9" i="73"/>
  <c r="M12" i="73" s="1"/>
  <c r="E30" i="73"/>
  <c r="E29" i="73"/>
  <c r="E28" i="73"/>
  <c r="E27" i="73"/>
  <c r="E26" i="73"/>
  <c r="E25" i="73"/>
  <c r="M57" i="73"/>
  <c r="E31" i="73"/>
  <c r="E32" i="73"/>
  <c r="M81" i="73" s="1"/>
  <c r="E24" i="73"/>
  <c r="M32" i="73" s="1"/>
  <c r="E19" i="73"/>
  <c r="E20" i="73"/>
  <c r="E21" i="73"/>
  <c r="E18" i="73"/>
  <c r="E15" i="73"/>
  <c r="M24" i="73" s="1"/>
  <c r="Q10" i="73" s="1"/>
  <c r="E13" i="73"/>
  <c r="M82" i="73"/>
  <c r="M70" i="73"/>
  <c r="M69" i="73"/>
  <c r="M68" i="73"/>
  <c r="M63" i="73"/>
  <c r="M62" i="73"/>
  <c r="M50" i="73"/>
  <c r="M39" i="73"/>
  <c r="M38" i="73"/>
  <c r="M16" i="73"/>
  <c r="M40" i="73" l="1"/>
  <c r="M41" i="73" s="1"/>
  <c r="M84" i="73"/>
  <c r="M76" i="73"/>
  <c r="M46" i="73"/>
  <c r="M47" i="73" s="1"/>
  <c r="M10" i="73"/>
  <c r="M9" i="73"/>
  <c r="M11" i="73"/>
  <c r="Q12" i="73" s="1"/>
  <c r="M13" i="73"/>
  <c r="Q14" i="73"/>
  <c r="M52" i="73"/>
  <c r="M53" i="73" s="1"/>
  <c r="M64" i="73"/>
  <c r="M65" i="73" s="1"/>
  <c r="M77" i="73"/>
  <c r="M78" i="73" s="1"/>
  <c r="M56" i="73"/>
  <c r="M58" i="73" s="1"/>
  <c r="M59" i="73" s="1"/>
  <c r="M71" i="73"/>
  <c r="M72" i="73" s="1"/>
  <c r="M33" i="73"/>
  <c r="M34" i="73" s="1"/>
  <c r="M35" i="73" s="1"/>
  <c r="M83" i="73"/>
  <c r="K20" i="70"/>
  <c r="K13" i="70"/>
  <c r="K12" i="70"/>
  <c r="K11" i="70"/>
  <c r="O12" i="70" s="1"/>
  <c r="K24" i="70"/>
  <c r="O10" i="70" s="1"/>
  <c r="K10" i="70"/>
  <c r="K9" i="70"/>
  <c r="M21" i="73" l="1"/>
  <c r="M17" i="73"/>
  <c r="K39" i="70"/>
  <c r="K38" i="70"/>
  <c r="K33" i="70"/>
  <c r="K32" i="70"/>
  <c r="O10" i="42"/>
  <c r="K20" i="42"/>
  <c r="K16" i="42"/>
  <c r="K13" i="42"/>
  <c r="K11" i="42"/>
  <c r="K12" i="42"/>
  <c r="K10" i="42"/>
  <c r="K9" i="42"/>
  <c r="K12" i="1"/>
  <c r="Q8" i="73" l="1"/>
  <c r="P17" i="73" s="1"/>
  <c r="Q38" i="73" s="1"/>
  <c r="K40" i="70"/>
  <c r="K41" i="70" s="1"/>
  <c r="K34" i="70"/>
  <c r="K35" i="70" s="1"/>
  <c r="D2" i="71"/>
  <c r="E2" i="71" s="1"/>
  <c r="D3" i="71"/>
  <c r="E3" i="71" s="1"/>
  <c r="D4" i="71"/>
  <c r="E4" i="71" s="1"/>
  <c r="D5" i="71"/>
  <c r="E5" i="71" s="1"/>
  <c r="D6" i="71"/>
  <c r="E6" i="71" s="1"/>
  <c r="D7" i="71"/>
  <c r="E7" i="71" s="1"/>
  <c r="D8" i="71"/>
  <c r="E8" i="71" s="1"/>
  <c r="D9" i="71"/>
  <c r="E9" i="71" s="1"/>
  <c r="D10" i="71"/>
  <c r="E10" i="71" s="1"/>
  <c r="D11" i="71"/>
  <c r="E11" i="71" s="1"/>
  <c r="D12" i="71"/>
  <c r="E12" i="71" s="1"/>
  <c r="D13" i="71"/>
  <c r="E13" i="71" s="1"/>
  <c r="D14" i="71"/>
  <c r="E14" i="71" s="1"/>
  <c r="D15" i="71"/>
  <c r="E15" i="71" s="1"/>
  <c r="D16" i="71"/>
  <c r="E16" i="71" s="1"/>
  <c r="D17" i="71"/>
  <c r="E17" i="71" s="1"/>
  <c r="D18" i="71"/>
  <c r="E18" i="71" s="1"/>
  <c r="D19" i="71"/>
  <c r="E19" i="71" s="1"/>
  <c r="D20" i="71"/>
  <c r="E20" i="71" s="1"/>
  <c r="D21" i="71"/>
  <c r="E21" i="71" s="1"/>
  <c r="D22" i="71"/>
  <c r="E22" i="71" s="1"/>
  <c r="D23" i="71"/>
  <c r="E23" i="71" s="1"/>
  <c r="D24" i="71"/>
  <c r="E24" i="71" s="1"/>
  <c r="D25" i="71"/>
  <c r="E25" i="71" s="1"/>
  <c r="D26" i="71"/>
  <c r="E26" i="71" s="1"/>
  <c r="Q27" i="73" l="1"/>
  <c r="Q29" i="73"/>
  <c r="Q26" i="73"/>
  <c r="Q23" i="73"/>
  <c r="Q34" i="73"/>
  <c r="Q37" i="73"/>
  <c r="Q28" i="73"/>
  <c r="Q35" i="73"/>
  <c r="Q22" i="73"/>
  <c r="Q39" i="73" s="1"/>
  <c r="Q36" i="73"/>
  <c r="Q31" i="73"/>
  <c r="Q32" i="73"/>
  <c r="Q33" i="73"/>
  <c r="Q30" i="73"/>
  <c r="Q25" i="73"/>
  <c r="B12" i="71"/>
  <c r="B2" i="71"/>
  <c r="B3" i="71"/>
  <c r="B4" i="71"/>
  <c r="B5" i="71"/>
  <c r="B6" i="71"/>
  <c r="B7" i="71"/>
  <c r="B8" i="71"/>
  <c r="B9" i="71"/>
  <c r="B10" i="71"/>
  <c r="B11" i="71"/>
  <c r="B13" i="71"/>
  <c r="B14" i="71"/>
  <c r="B15" i="71"/>
  <c r="B16" i="71"/>
  <c r="B17" i="71"/>
  <c r="B18" i="71"/>
  <c r="B19" i="71"/>
  <c r="B20" i="71"/>
  <c r="B21" i="71"/>
  <c r="B22" i="71"/>
  <c r="B23" i="71"/>
  <c r="B24" i="71"/>
  <c r="B25" i="71"/>
  <c r="B26" i="71"/>
  <c r="K82" i="70" l="1"/>
  <c r="K81" i="70"/>
  <c r="K76" i="70"/>
  <c r="K75" i="70"/>
  <c r="K70" i="70"/>
  <c r="K69" i="70"/>
  <c r="K68" i="70"/>
  <c r="K63" i="70"/>
  <c r="K62" i="70"/>
  <c r="K57" i="70"/>
  <c r="K56" i="70"/>
  <c r="K51" i="70"/>
  <c r="K50" i="70"/>
  <c r="K45" i="70"/>
  <c r="K44" i="70"/>
  <c r="K16" i="70"/>
  <c r="O14" i="70"/>
  <c r="K21" i="70" l="1"/>
  <c r="K71" i="70"/>
  <c r="K72" i="70" s="1"/>
  <c r="K84" i="70"/>
  <c r="K46" i="70"/>
  <c r="K47" i="70" s="1"/>
  <c r="K58" i="70"/>
  <c r="K59" i="70" s="1"/>
  <c r="K52" i="70"/>
  <c r="K53" i="70" s="1"/>
  <c r="K64" i="70"/>
  <c r="K65" i="70" s="1"/>
  <c r="K77" i="70"/>
  <c r="K78" i="70" s="1"/>
  <c r="K83" i="70"/>
  <c r="K17" i="70" l="1"/>
  <c r="O8" i="70" s="1"/>
  <c r="K79" i="66"/>
  <c r="K78" i="66"/>
  <c r="K73" i="66"/>
  <c r="K72" i="66"/>
  <c r="K67" i="66"/>
  <c r="K66" i="66"/>
  <c r="K65" i="66"/>
  <c r="K60" i="66"/>
  <c r="K59" i="66"/>
  <c r="K54" i="66"/>
  <c r="K53" i="66"/>
  <c r="K48" i="66"/>
  <c r="K47" i="66"/>
  <c r="K42" i="66"/>
  <c r="K41" i="66"/>
  <c r="K36" i="66"/>
  <c r="K35" i="66"/>
  <c r="K30" i="66"/>
  <c r="K29" i="66"/>
  <c r="K20" i="66"/>
  <c r="K16" i="66"/>
  <c r="O14" i="66"/>
  <c r="K13" i="66"/>
  <c r="O12" i="66"/>
  <c r="K12" i="66"/>
  <c r="K11" i="66"/>
  <c r="O10" i="66"/>
  <c r="K10" i="66"/>
  <c r="K9" i="66"/>
  <c r="K79" i="64"/>
  <c r="K78" i="64"/>
  <c r="K73" i="64"/>
  <c r="K72" i="64"/>
  <c r="K67" i="64"/>
  <c r="K66" i="64"/>
  <c r="K65" i="64"/>
  <c r="K68" i="64" s="1"/>
  <c r="K69" i="64" s="1"/>
  <c r="K60" i="64"/>
  <c r="K59" i="64"/>
  <c r="K54" i="64"/>
  <c r="K53" i="64"/>
  <c r="K48" i="64"/>
  <c r="K47" i="64"/>
  <c r="K42" i="64"/>
  <c r="K41" i="64"/>
  <c r="K36" i="64"/>
  <c r="K35" i="64"/>
  <c r="K30" i="64"/>
  <c r="K29" i="64"/>
  <c r="K31" i="64" s="1"/>
  <c r="K32" i="64" s="1"/>
  <c r="K20" i="64"/>
  <c r="K16" i="64"/>
  <c r="O14" i="64"/>
  <c r="K13" i="64"/>
  <c r="O12" i="64"/>
  <c r="K12" i="64"/>
  <c r="K11" i="64"/>
  <c r="O10" i="64"/>
  <c r="K10" i="64"/>
  <c r="K9" i="64"/>
  <c r="K79" i="62"/>
  <c r="K78" i="62"/>
  <c r="K73" i="62"/>
  <c r="K72" i="62"/>
  <c r="K67" i="62"/>
  <c r="K66" i="62"/>
  <c r="K65" i="62"/>
  <c r="K60" i="62"/>
  <c r="K59" i="62"/>
  <c r="K54" i="62"/>
  <c r="K55" i="62" s="1"/>
  <c r="K56" i="62" s="1"/>
  <c r="K53" i="62"/>
  <c r="K48" i="62"/>
  <c r="K47" i="62"/>
  <c r="K42" i="62"/>
  <c r="K43" i="62" s="1"/>
  <c r="K44" i="62" s="1"/>
  <c r="K41" i="62"/>
  <c r="K36" i="62"/>
  <c r="K35" i="62"/>
  <c r="K30" i="62"/>
  <c r="K29" i="62"/>
  <c r="K20" i="62"/>
  <c r="K16" i="62"/>
  <c r="O14" i="62"/>
  <c r="K13" i="62"/>
  <c r="O12" i="62"/>
  <c r="K12" i="62"/>
  <c r="K11" i="62"/>
  <c r="O10" i="62"/>
  <c r="K10" i="62"/>
  <c r="K9" i="62"/>
  <c r="K79" i="61"/>
  <c r="K78" i="61"/>
  <c r="K73" i="61"/>
  <c r="K72" i="61"/>
  <c r="K67" i="61"/>
  <c r="K66" i="61"/>
  <c r="K65" i="61"/>
  <c r="K60" i="61"/>
  <c r="K59" i="61"/>
  <c r="K54" i="61"/>
  <c r="K53" i="61"/>
  <c r="K48" i="61"/>
  <c r="K47" i="61"/>
  <c r="K42" i="61"/>
  <c r="K41" i="61"/>
  <c r="K36" i="61"/>
  <c r="K35" i="61"/>
  <c r="K30" i="61"/>
  <c r="K29" i="61"/>
  <c r="K20" i="61"/>
  <c r="K16" i="61"/>
  <c r="O14" i="61"/>
  <c r="K13" i="61"/>
  <c r="O12" i="61"/>
  <c r="K12" i="61"/>
  <c r="K11" i="61"/>
  <c r="O10" i="61"/>
  <c r="K10" i="61"/>
  <c r="K9" i="61"/>
  <c r="K79" i="60"/>
  <c r="K78" i="60"/>
  <c r="K73" i="60"/>
  <c r="K72" i="60"/>
  <c r="K67" i="60"/>
  <c r="K66" i="60"/>
  <c r="K65" i="60"/>
  <c r="K60" i="60"/>
  <c r="K61" i="60" s="1"/>
  <c r="K62" i="60" s="1"/>
  <c r="K59" i="60"/>
  <c r="K54" i="60"/>
  <c r="K55" i="60" s="1"/>
  <c r="K56" i="60" s="1"/>
  <c r="K53" i="60"/>
  <c r="K48" i="60"/>
  <c r="K47" i="60"/>
  <c r="K42" i="60"/>
  <c r="K41" i="60"/>
  <c r="K36" i="60"/>
  <c r="K35" i="60"/>
  <c r="K30" i="60"/>
  <c r="K29" i="60"/>
  <c r="K20" i="60"/>
  <c r="K16" i="60"/>
  <c r="O14" i="60"/>
  <c r="K13" i="60"/>
  <c r="O12" i="60"/>
  <c r="K12" i="60"/>
  <c r="K11" i="60"/>
  <c r="O10" i="60"/>
  <c r="K10" i="60"/>
  <c r="K9" i="60"/>
  <c r="K79" i="59"/>
  <c r="K78" i="59"/>
  <c r="K73" i="59"/>
  <c r="K72" i="59"/>
  <c r="K67" i="59"/>
  <c r="K66" i="59"/>
  <c r="K65" i="59"/>
  <c r="K60" i="59"/>
  <c r="K59" i="59"/>
  <c r="K54" i="59"/>
  <c r="K53" i="59"/>
  <c r="K48" i="59"/>
  <c r="K47" i="59"/>
  <c r="K42" i="59"/>
  <c r="K41" i="59"/>
  <c r="K36" i="59"/>
  <c r="K35" i="59"/>
  <c r="K30" i="59"/>
  <c r="K29" i="59"/>
  <c r="K31" i="59" s="1"/>
  <c r="K32" i="59" s="1"/>
  <c r="K20" i="59"/>
  <c r="K16" i="59"/>
  <c r="O14" i="59"/>
  <c r="K13" i="59"/>
  <c r="O12" i="59"/>
  <c r="K12" i="59"/>
  <c r="K11" i="59"/>
  <c r="O10" i="59"/>
  <c r="K10" i="59"/>
  <c r="K9" i="59"/>
  <c r="K79" i="57"/>
  <c r="K78" i="57"/>
  <c r="K81" i="57" s="1"/>
  <c r="K73" i="57"/>
  <c r="K72" i="57"/>
  <c r="K67" i="57"/>
  <c r="K66" i="57"/>
  <c r="K65" i="57"/>
  <c r="K60" i="57"/>
  <c r="K59" i="57"/>
  <c r="K54" i="57"/>
  <c r="K55" i="57" s="1"/>
  <c r="K56" i="57" s="1"/>
  <c r="K53" i="57"/>
  <c r="K48" i="57"/>
  <c r="K47" i="57"/>
  <c r="K42" i="57"/>
  <c r="K41" i="57"/>
  <c r="K36" i="57"/>
  <c r="K35" i="57"/>
  <c r="K30" i="57"/>
  <c r="K29" i="57"/>
  <c r="K20" i="57"/>
  <c r="K16" i="57"/>
  <c r="O14" i="57"/>
  <c r="K13" i="57"/>
  <c r="O12" i="57"/>
  <c r="K12" i="57"/>
  <c r="K11" i="57"/>
  <c r="O10" i="57"/>
  <c r="K10" i="57"/>
  <c r="K9" i="57"/>
  <c r="K79" i="56"/>
  <c r="K81" i="56" s="1"/>
  <c r="K78" i="56"/>
  <c r="K73" i="56"/>
  <c r="K72" i="56"/>
  <c r="K67" i="56"/>
  <c r="K66" i="56"/>
  <c r="K65" i="56"/>
  <c r="K60" i="56"/>
  <c r="K59" i="56"/>
  <c r="K54" i="56"/>
  <c r="K53" i="56"/>
  <c r="K55" i="56" s="1"/>
  <c r="K56" i="56" s="1"/>
  <c r="K48" i="56"/>
  <c r="K47" i="56"/>
  <c r="K49" i="56" s="1"/>
  <c r="K50" i="56" s="1"/>
  <c r="K42" i="56"/>
  <c r="K41" i="56"/>
  <c r="K43" i="56" s="1"/>
  <c r="K44" i="56" s="1"/>
  <c r="K36" i="56"/>
  <c r="K35" i="56"/>
  <c r="K30" i="56"/>
  <c r="K29" i="56"/>
  <c r="K20" i="56"/>
  <c r="K16" i="56"/>
  <c r="O14" i="56"/>
  <c r="K13" i="56"/>
  <c r="O12" i="56"/>
  <c r="K12" i="56"/>
  <c r="K11" i="56"/>
  <c r="O10" i="56"/>
  <c r="K10" i="56"/>
  <c r="K9" i="56"/>
  <c r="K79" i="55"/>
  <c r="K78" i="55"/>
  <c r="K73" i="55"/>
  <c r="K72" i="55"/>
  <c r="K67" i="55"/>
  <c r="K66" i="55"/>
  <c r="K65" i="55"/>
  <c r="K60" i="55"/>
  <c r="K59" i="55"/>
  <c r="K54" i="55"/>
  <c r="K53" i="55"/>
  <c r="K48" i="55"/>
  <c r="K47" i="55"/>
  <c r="K42" i="55"/>
  <c r="K41" i="55"/>
  <c r="K36" i="55"/>
  <c r="K35" i="55"/>
  <c r="K30" i="55"/>
  <c r="K29" i="55"/>
  <c r="K20" i="55"/>
  <c r="K16" i="55"/>
  <c r="O14" i="55"/>
  <c r="K13" i="55"/>
  <c r="O12" i="55"/>
  <c r="K12" i="55"/>
  <c r="K11" i="55"/>
  <c r="O10" i="55"/>
  <c r="K10" i="55"/>
  <c r="K9" i="55"/>
  <c r="K79" i="54"/>
  <c r="K78" i="54"/>
  <c r="K73" i="54"/>
  <c r="K72" i="54"/>
  <c r="K67" i="54"/>
  <c r="K66" i="54"/>
  <c r="K65" i="54"/>
  <c r="K60" i="54"/>
  <c r="K59" i="54"/>
  <c r="K54" i="54"/>
  <c r="K53" i="54"/>
  <c r="K48" i="54"/>
  <c r="K47" i="54"/>
  <c r="K42" i="54"/>
  <c r="K41" i="54"/>
  <c r="K36" i="54"/>
  <c r="K35" i="54"/>
  <c r="K30" i="54"/>
  <c r="K29" i="54"/>
  <c r="K20" i="54"/>
  <c r="K16" i="54"/>
  <c r="O14" i="54"/>
  <c r="K13" i="54"/>
  <c r="O12" i="54"/>
  <c r="K12" i="54"/>
  <c r="K11" i="54"/>
  <c r="O10" i="54"/>
  <c r="K10" i="54"/>
  <c r="K9" i="54"/>
  <c r="K79" i="53"/>
  <c r="K78" i="53"/>
  <c r="K73" i="53"/>
  <c r="K72" i="53"/>
  <c r="K67" i="53"/>
  <c r="K66" i="53"/>
  <c r="K65" i="53"/>
  <c r="K60" i="53"/>
  <c r="K59" i="53"/>
  <c r="K54" i="53"/>
  <c r="K53" i="53"/>
  <c r="K48" i="53"/>
  <c r="K47" i="53"/>
  <c r="K42" i="53"/>
  <c r="K41" i="53"/>
  <c r="K36" i="53"/>
  <c r="K35" i="53"/>
  <c r="K30" i="53"/>
  <c r="K29" i="53"/>
  <c r="K20" i="53"/>
  <c r="K16" i="53"/>
  <c r="O14" i="53"/>
  <c r="K13" i="53"/>
  <c r="O12" i="53"/>
  <c r="K12" i="53"/>
  <c r="K11" i="53"/>
  <c r="O10" i="53"/>
  <c r="K10" i="53"/>
  <c r="K9" i="53"/>
  <c r="K79" i="52"/>
  <c r="K78" i="52"/>
  <c r="K73" i="52"/>
  <c r="K72" i="52"/>
  <c r="K67" i="52"/>
  <c r="K66" i="52"/>
  <c r="K65" i="52"/>
  <c r="K60" i="52"/>
  <c r="K59" i="52"/>
  <c r="K54" i="52"/>
  <c r="K53" i="52"/>
  <c r="K48" i="52"/>
  <c r="K47" i="52"/>
  <c r="K42" i="52"/>
  <c r="K41" i="52"/>
  <c r="K36" i="52"/>
  <c r="K35" i="52"/>
  <c r="K30" i="52"/>
  <c r="K29" i="52"/>
  <c r="K20" i="52"/>
  <c r="K16" i="52"/>
  <c r="O14" i="52"/>
  <c r="K13" i="52"/>
  <c r="O12" i="52"/>
  <c r="K12" i="52"/>
  <c r="K11" i="52"/>
  <c r="O10" i="52"/>
  <c r="K10" i="52"/>
  <c r="K9" i="52"/>
  <c r="K79" i="51"/>
  <c r="K78" i="51"/>
  <c r="K73" i="51"/>
  <c r="K72" i="51"/>
  <c r="K67" i="51"/>
  <c r="K66" i="51"/>
  <c r="K65" i="51"/>
  <c r="K60" i="51"/>
  <c r="K59" i="51"/>
  <c r="K54" i="51"/>
  <c r="K53" i="51"/>
  <c r="K48" i="51"/>
  <c r="K47" i="51"/>
  <c r="K42" i="51"/>
  <c r="K41" i="51"/>
  <c r="K36" i="51"/>
  <c r="K35" i="51"/>
  <c r="K30" i="51"/>
  <c r="K29" i="51"/>
  <c r="K20" i="51"/>
  <c r="K16" i="51"/>
  <c r="O14" i="51"/>
  <c r="K13" i="51"/>
  <c r="O12" i="51"/>
  <c r="K12" i="51"/>
  <c r="K11" i="51"/>
  <c r="O10" i="51"/>
  <c r="K10" i="51"/>
  <c r="K9" i="51"/>
  <c r="K79" i="50"/>
  <c r="K78" i="50"/>
  <c r="K73" i="50"/>
  <c r="K72" i="50"/>
  <c r="K67" i="50"/>
  <c r="K66" i="50"/>
  <c r="K65" i="50"/>
  <c r="K60" i="50"/>
  <c r="K59" i="50"/>
  <c r="K54" i="50"/>
  <c r="K53" i="50"/>
  <c r="K48" i="50"/>
  <c r="K47" i="50"/>
  <c r="K49" i="50" s="1"/>
  <c r="K50" i="50" s="1"/>
  <c r="K42" i="50"/>
  <c r="K41" i="50"/>
  <c r="K36" i="50"/>
  <c r="K35" i="50"/>
  <c r="K37" i="50" s="1"/>
  <c r="K38" i="50" s="1"/>
  <c r="K30" i="50"/>
  <c r="K29" i="50"/>
  <c r="K20" i="50"/>
  <c r="K16" i="50"/>
  <c r="O14" i="50"/>
  <c r="K13" i="50"/>
  <c r="O12" i="50"/>
  <c r="K12" i="50"/>
  <c r="K11" i="50"/>
  <c r="O10" i="50"/>
  <c r="K10" i="50"/>
  <c r="K9" i="50"/>
  <c r="K79" i="49"/>
  <c r="K78" i="49"/>
  <c r="K73" i="49"/>
  <c r="K72" i="49"/>
  <c r="K74" i="49" s="1"/>
  <c r="K75" i="49" s="1"/>
  <c r="K67" i="49"/>
  <c r="K66" i="49"/>
  <c r="K65" i="49"/>
  <c r="K60" i="49"/>
  <c r="K59" i="49"/>
  <c r="K54" i="49"/>
  <c r="K53" i="49"/>
  <c r="K48" i="49"/>
  <c r="K47" i="49"/>
  <c r="K42" i="49"/>
  <c r="K41" i="49"/>
  <c r="K36" i="49"/>
  <c r="K35" i="49"/>
  <c r="K30" i="49"/>
  <c r="K29" i="49"/>
  <c r="K20" i="49"/>
  <c r="K16" i="49"/>
  <c r="O14" i="49"/>
  <c r="K13" i="49"/>
  <c r="O12" i="49"/>
  <c r="K12" i="49"/>
  <c r="K11" i="49"/>
  <c r="O10" i="49"/>
  <c r="K10" i="49"/>
  <c r="K9" i="49"/>
  <c r="K79" i="48"/>
  <c r="K78" i="48"/>
  <c r="K73" i="48"/>
  <c r="K72" i="48"/>
  <c r="K67" i="48"/>
  <c r="K66" i="48"/>
  <c r="K65" i="48"/>
  <c r="K60" i="48"/>
  <c r="K59" i="48"/>
  <c r="K54" i="48"/>
  <c r="K53" i="48"/>
  <c r="K55" i="48" s="1"/>
  <c r="K56" i="48" s="1"/>
  <c r="K48" i="48"/>
  <c r="K47" i="48"/>
  <c r="K42" i="48"/>
  <c r="K41" i="48"/>
  <c r="K43" i="48" s="1"/>
  <c r="K44" i="48" s="1"/>
  <c r="K36" i="48"/>
  <c r="K35" i="48"/>
  <c r="K30" i="48"/>
  <c r="K29" i="48"/>
  <c r="K31" i="48" s="1"/>
  <c r="K32" i="48" s="1"/>
  <c r="K20" i="48"/>
  <c r="K16" i="48"/>
  <c r="O14" i="48"/>
  <c r="K13" i="48"/>
  <c r="O12" i="48"/>
  <c r="K12" i="48"/>
  <c r="K11" i="48"/>
  <c r="O10" i="48"/>
  <c r="K10" i="48"/>
  <c r="K9" i="48"/>
  <c r="K79" i="47"/>
  <c r="K78" i="47"/>
  <c r="K81" i="47" s="1"/>
  <c r="K73" i="47"/>
  <c r="K72" i="47"/>
  <c r="K67" i="47"/>
  <c r="K66" i="47"/>
  <c r="K65" i="47"/>
  <c r="K60" i="47"/>
  <c r="K59" i="47"/>
  <c r="K54" i="47"/>
  <c r="K53" i="47"/>
  <c r="K48" i="47"/>
  <c r="K47" i="47"/>
  <c r="K42" i="47"/>
  <c r="K41" i="47"/>
  <c r="K36" i="47"/>
  <c r="K35" i="47"/>
  <c r="K30" i="47"/>
  <c r="K29" i="47"/>
  <c r="K20" i="47"/>
  <c r="K16" i="47"/>
  <c r="O14" i="47"/>
  <c r="K13" i="47"/>
  <c r="O12" i="47"/>
  <c r="K12" i="47"/>
  <c r="K11" i="47"/>
  <c r="O10" i="47"/>
  <c r="K10" i="47"/>
  <c r="K9" i="47"/>
  <c r="K79" i="46"/>
  <c r="K78" i="46"/>
  <c r="K73" i="46"/>
  <c r="K72" i="46"/>
  <c r="K67" i="46"/>
  <c r="K66" i="46"/>
  <c r="K65" i="46"/>
  <c r="K60" i="46"/>
  <c r="K59" i="46"/>
  <c r="K61" i="46" s="1"/>
  <c r="K62" i="46" s="1"/>
  <c r="K54" i="46"/>
  <c r="K53" i="46"/>
  <c r="K48" i="46"/>
  <c r="K47" i="46"/>
  <c r="K49" i="46" s="1"/>
  <c r="K50" i="46" s="1"/>
  <c r="K42" i="46"/>
  <c r="K41" i="46"/>
  <c r="K36" i="46"/>
  <c r="K35" i="46"/>
  <c r="K37" i="46" s="1"/>
  <c r="K38" i="46" s="1"/>
  <c r="K30" i="46"/>
  <c r="K29" i="46"/>
  <c r="K20" i="46"/>
  <c r="K16" i="46"/>
  <c r="O14" i="46"/>
  <c r="K13" i="46"/>
  <c r="O12" i="46"/>
  <c r="K12" i="46"/>
  <c r="K11" i="46"/>
  <c r="O10" i="46"/>
  <c r="K10" i="46"/>
  <c r="K9" i="46"/>
  <c r="K79" i="45"/>
  <c r="K78" i="45"/>
  <c r="K73" i="45"/>
  <c r="K72" i="45"/>
  <c r="K67" i="45"/>
  <c r="K66" i="45"/>
  <c r="K65" i="45"/>
  <c r="K60" i="45"/>
  <c r="K59" i="45"/>
  <c r="K54" i="45"/>
  <c r="K53" i="45"/>
  <c r="K48" i="45"/>
  <c r="K47" i="45"/>
  <c r="K42" i="45"/>
  <c r="K41" i="45"/>
  <c r="K36" i="45"/>
  <c r="K35" i="45"/>
  <c r="K30" i="45"/>
  <c r="K29" i="45"/>
  <c r="K20" i="45"/>
  <c r="K16" i="45"/>
  <c r="O14" i="45"/>
  <c r="K13" i="45"/>
  <c r="O12" i="45"/>
  <c r="K12" i="45"/>
  <c r="K11" i="45"/>
  <c r="O10" i="45"/>
  <c r="K10" i="45"/>
  <c r="K9" i="45"/>
  <c r="K79" i="44"/>
  <c r="K78" i="44"/>
  <c r="K73" i="44"/>
  <c r="K72" i="44"/>
  <c r="K67" i="44"/>
  <c r="K66" i="44"/>
  <c r="K65" i="44"/>
  <c r="K60" i="44"/>
  <c r="K59" i="44"/>
  <c r="K54" i="44"/>
  <c r="K53" i="44"/>
  <c r="K48" i="44"/>
  <c r="K47" i="44"/>
  <c r="K42" i="44"/>
  <c r="K41" i="44"/>
  <c r="K36" i="44"/>
  <c r="K35" i="44"/>
  <c r="K30" i="44"/>
  <c r="K29" i="44"/>
  <c r="K31" i="44" s="1"/>
  <c r="K32" i="44" s="1"/>
  <c r="K20" i="44"/>
  <c r="K16" i="44"/>
  <c r="O14" i="44"/>
  <c r="K13" i="44"/>
  <c r="O12" i="44"/>
  <c r="K12" i="44"/>
  <c r="K11" i="44"/>
  <c r="O10" i="44"/>
  <c r="K10" i="44"/>
  <c r="K9" i="44"/>
  <c r="K79" i="43"/>
  <c r="K78" i="43"/>
  <c r="K81" i="43" s="1"/>
  <c r="K73" i="43"/>
  <c r="K72" i="43"/>
  <c r="K74" i="43" s="1"/>
  <c r="K75" i="43" s="1"/>
  <c r="K67" i="43"/>
  <c r="K66" i="43"/>
  <c r="K65" i="43"/>
  <c r="K60" i="43"/>
  <c r="K59" i="43"/>
  <c r="K54" i="43"/>
  <c r="K53" i="43"/>
  <c r="K48" i="43"/>
  <c r="K47" i="43"/>
  <c r="K42" i="43"/>
  <c r="K41" i="43"/>
  <c r="K36" i="43"/>
  <c r="K35" i="43"/>
  <c r="K30" i="43"/>
  <c r="K29" i="43"/>
  <c r="K20" i="43"/>
  <c r="K16" i="43"/>
  <c r="O14" i="43"/>
  <c r="K13" i="43"/>
  <c r="O12" i="43"/>
  <c r="K12" i="43"/>
  <c r="K11" i="43"/>
  <c r="O10" i="43"/>
  <c r="K10" i="43"/>
  <c r="K9" i="43"/>
  <c r="K81" i="62" l="1"/>
  <c r="K31" i="55"/>
  <c r="K32" i="55" s="1"/>
  <c r="K81" i="54"/>
  <c r="K37" i="53"/>
  <c r="K38" i="53" s="1"/>
  <c r="K74" i="52"/>
  <c r="K75" i="52" s="1"/>
  <c r="K31" i="51"/>
  <c r="K32" i="51" s="1"/>
  <c r="K55" i="61"/>
  <c r="K56" i="61" s="1"/>
  <c r="K21" i="61"/>
  <c r="K21" i="66"/>
  <c r="K80" i="60"/>
  <c r="K49" i="54"/>
  <c r="K50" i="54" s="1"/>
  <c r="K61" i="54"/>
  <c r="K62" i="54" s="1"/>
  <c r="K81" i="66"/>
  <c r="N17" i="70"/>
  <c r="K74" i="66"/>
  <c r="K75" i="66" s="1"/>
  <c r="K74" i="45"/>
  <c r="K75" i="45" s="1"/>
  <c r="K43" i="57"/>
  <c r="K44" i="57" s="1"/>
  <c r="K61" i="61"/>
  <c r="K62" i="61" s="1"/>
  <c r="K68" i="44"/>
  <c r="K69" i="44" s="1"/>
  <c r="K68" i="48"/>
  <c r="K69" i="48" s="1"/>
  <c r="K21" i="49"/>
  <c r="K68" i="51"/>
  <c r="K69" i="51" s="1"/>
  <c r="K68" i="56"/>
  <c r="K69" i="56" s="1"/>
  <c r="K68" i="59"/>
  <c r="K69" i="59" s="1"/>
  <c r="K21" i="60"/>
  <c r="K80" i="43"/>
  <c r="K31" i="49"/>
  <c r="K32" i="49" s="1"/>
  <c r="K43" i="49"/>
  <c r="K44" i="49" s="1"/>
  <c r="K61" i="50"/>
  <c r="K62" i="50" s="1"/>
  <c r="K31" i="52"/>
  <c r="K32" i="52" s="1"/>
  <c r="K61" i="56"/>
  <c r="K62" i="56" s="1"/>
  <c r="K37" i="57"/>
  <c r="K38" i="57" s="1"/>
  <c r="K81" i="59"/>
  <c r="K31" i="60"/>
  <c r="K32" i="60" s="1"/>
  <c r="K43" i="60"/>
  <c r="K44" i="60" s="1"/>
  <c r="K49" i="61"/>
  <c r="K50" i="61" s="1"/>
  <c r="K49" i="64"/>
  <c r="K50" i="64" s="1"/>
  <c r="K61" i="64"/>
  <c r="K62" i="64" s="1"/>
  <c r="K31" i="43"/>
  <c r="K32" i="43" s="1"/>
  <c r="K43" i="43"/>
  <c r="K44" i="43" s="1"/>
  <c r="K55" i="43"/>
  <c r="K56" i="43" s="1"/>
  <c r="K68" i="43"/>
  <c r="K69" i="43" s="1"/>
  <c r="K21" i="44"/>
  <c r="K49" i="44"/>
  <c r="K50" i="44" s="1"/>
  <c r="K61" i="44"/>
  <c r="K62" i="44" s="1"/>
  <c r="K74" i="44"/>
  <c r="K75" i="44" s="1"/>
  <c r="K37" i="45"/>
  <c r="K38" i="45" s="1"/>
  <c r="K49" i="45"/>
  <c r="K50" i="45" s="1"/>
  <c r="K61" i="45"/>
  <c r="K62" i="45" s="1"/>
  <c r="K81" i="46"/>
  <c r="K31" i="47"/>
  <c r="K32" i="47" s="1"/>
  <c r="K43" i="47"/>
  <c r="K44" i="47" s="1"/>
  <c r="K55" i="47"/>
  <c r="K56" i="47" s="1"/>
  <c r="K68" i="47"/>
  <c r="K69" i="47" s="1"/>
  <c r="K21" i="48"/>
  <c r="K74" i="48"/>
  <c r="K75" i="48" s="1"/>
  <c r="K37" i="49"/>
  <c r="K38" i="49" s="1"/>
  <c r="K49" i="49"/>
  <c r="K50" i="49" s="1"/>
  <c r="K61" i="49"/>
  <c r="K62" i="49" s="1"/>
  <c r="K43" i="50"/>
  <c r="K44" i="50" s="1"/>
  <c r="K55" i="50"/>
  <c r="K56" i="50" s="1"/>
  <c r="K74" i="50"/>
  <c r="K75" i="50" s="1"/>
  <c r="K21" i="51"/>
  <c r="K49" i="51"/>
  <c r="K50" i="51" s="1"/>
  <c r="K61" i="51"/>
  <c r="K62" i="51" s="1"/>
  <c r="K74" i="51"/>
  <c r="K75" i="51" s="1"/>
  <c r="K37" i="52"/>
  <c r="K38" i="52" s="1"/>
  <c r="K43" i="53"/>
  <c r="K44" i="53" s="1"/>
  <c r="K55" i="53"/>
  <c r="K56" i="53" s="1"/>
  <c r="K81" i="53"/>
  <c r="K31" i="54"/>
  <c r="K32" i="54" s="1"/>
  <c r="K68" i="54"/>
  <c r="K69" i="54" s="1"/>
  <c r="K21" i="55"/>
  <c r="K49" i="55"/>
  <c r="K50" i="55" s="1"/>
  <c r="K61" i="55"/>
  <c r="K62" i="55" s="1"/>
  <c r="K74" i="55"/>
  <c r="K75" i="55" s="1"/>
  <c r="K37" i="56"/>
  <c r="K38" i="56" s="1"/>
  <c r="K49" i="59"/>
  <c r="K50" i="59" s="1"/>
  <c r="K61" i="59"/>
  <c r="K62" i="59" s="1"/>
  <c r="K49" i="60"/>
  <c r="K50" i="60" s="1"/>
  <c r="K31" i="61"/>
  <c r="K32" i="61" s="1"/>
  <c r="K43" i="61"/>
  <c r="K44" i="61" s="1"/>
  <c r="K37" i="62"/>
  <c r="K38" i="62" s="1"/>
  <c r="K81" i="64"/>
  <c r="K31" i="66"/>
  <c r="K32" i="66" s="1"/>
  <c r="K43" i="66"/>
  <c r="K44" i="66" s="1"/>
  <c r="K55" i="66"/>
  <c r="K56" i="66" s="1"/>
  <c r="K68" i="66"/>
  <c r="K69" i="66" s="1"/>
  <c r="K21" i="62"/>
  <c r="K49" i="62"/>
  <c r="K50" i="62" s="1"/>
  <c r="K61" i="62"/>
  <c r="K62" i="62" s="1"/>
  <c r="K74" i="62"/>
  <c r="K75" i="62" s="1"/>
  <c r="K31" i="62"/>
  <c r="K32" i="62" s="1"/>
  <c r="K68" i="62"/>
  <c r="K69" i="62" s="1"/>
  <c r="K43" i="64"/>
  <c r="K44" i="64" s="1"/>
  <c r="K55" i="64"/>
  <c r="K56" i="64" s="1"/>
  <c r="K37" i="64"/>
  <c r="K38" i="64" s="1"/>
  <c r="K21" i="64"/>
  <c r="K74" i="64"/>
  <c r="K75" i="64" s="1"/>
  <c r="K74" i="61"/>
  <c r="K75" i="61" s="1"/>
  <c r="K37" i="61"/>
  <c r="K38" i="61" s="1"/>
  <c r="K68" i="61"/>
  <c r="K69" i="61" s="1"/>
  <c r="K81" i="61"/>
  <c r="K37" i="66"/>
  <c r="K38" i="66" s="1"/>
  <c r="K49" i="66"/>
  <c r="K50" i="66" s="1"/>
  <c r="K61" i="66"/>
  <c r="K62" i="66" s="1"/>
  <c r="K74" i="60"/>
  <c r="K75" i="60" s="1"/>
  <c r="K81" i="60"/>
  <c r="K37" i="60"/>
  <c r="K38" i="60" s="1"/>
  <c r="K68" i="60"/>
  <c r="K69" i="60" s="1"/>
  <c r="K43" i="59"/>
  <c r="K44" i="59" s="1"/>
  <c r="K55" i="59"/>
  <c r="K56" i="59" s="1"/>
  <c r="K37" i="59"/>
  <c r="K38" i="59" s="1"/>
  <c r="K21" i="59"/>
  <c r="K74" i="59"/>
  <c r="K75" i="59" s="1"/>
  <c r="K21" i="57"/>
  <c r="K49" i="57"/>
  <c r="K50" i="57" s="1"/>
  <c r="K61" i="57"/>
  <c r="K62" i="57" s="1"/>
  <c r="K74" i="57"/>
  <c r="K75" i="57" s="1"/>
  <c r="K31" i="57"/>
  <c r="K32" i="57" s="1"/>
  <c r="K68" i="57"/>
  <c r="K69" i="57" s="1"/>
  <c r="K21" i="56"/>
  <c r="K31" i="56"/>
  <c r="K32" i="56" s="1"/>
  <c r="K74" i="56"/>
  <c r="K75" i="56" s="1"/>
  <c r="K43" i="55"/>
  <c r="K44" i="55" s="1"/>
  <c r="K55" i="55"/>
  <c r="K56" i="55" s="1"/>
  <c r="K68" i="55"/>
  <c r="K69" i="55" s="1"/>
  <c r="K81" i="55"/>
  <c r="K37" i="55"/>
  <c r="K38" i="55" s="1"/>
  <c r="K43" i="54"/>
  <c r="K44" i="54" s="1"/>
  <c r="K55" i="54"/>
  <c r="K56" i="54" s="1"/>
  <c r="K37" i="54"/>
  <c r="K38" i="54" s="1"/>
  <c r="K21" i="54"/>
  <c r="K74" i="54"/>
  <c r="K75" i="54" s="1"/>
  <c r="K21" i="53"/>
  <c r="K49" i="53"/>
  <c r="K50" i="53" s="1"/>
  <c r="K61" i="53"/>
  <c r="K62" i="53" s="1"/>
  <c r="K74" i="53"/>
  <c r="K75" i="53" s="1"/>
  <c r="K31" i="53"/>
  <c r="K32" i="53" s="1"/>
  <c r="K68" i="53"/>
  <c r="K69" i="53" s="1"/>
  <c r="K21" i="52"/>
  <c r="K49" i="52"/>
  <c r="K50" i="52" s="1"/>
  <c r="K61" i="52"/>
  <c r="K62" i="52" s="1"/>
  <c r="K68" i="52"/>
  <c r="K69" i="52" s="1"/>
  <c r="K43" i="52"/>
  <c r="K44" i="52" s="1"/>
  <c r="K55" i="52"/>
  <c r="K56" i="52" s="1"/>
  <c r="K81" i="52"/>
  <c r="K43" i="51"/>
  <c r="K44" i="51" s="1"/>
  <c r="K55" i="51"/>
  <c r="K56" i="51" s="1"/>
  <c r="K81" i="51"/>
  <c r="K37" i="51"/>
  <c r="K38" i="51" s="1"/>
  <c r="K68" i="50"/>
  <c r="K69" i="50" s="1"/>
  <c r="K31" i="50"/>
  <c r="K32" i="50" s="1"/>
  <c r="K81" i="50"/>
  <c r="K21" i="50"/>
  <c r="K81" i="49"/>
  <c r="K55" i="49"/>
  <c r="K56" i="49" s="1"/>
  <c r="K68" i="49"/>
  <c r="K69" i="49" s="1"/>
  <c r="K81" i="48"/>
  <c r="K37" i="48"/>
  <c r="K38" i="48" s="1"/>
  <c r="K49" i="48"/>
  <c r="K50" i="48" s="1"/>
  <c r="K61" i="48"/>
  <c r="K62" i="48" s="1"/>
  <c r="K21" i="45"/>
  <c r="K31" i="45"/>
  <c r="K32" i="45" s="1"/>
  <c r="K43" i="45"/>
  <c r="K44" i="45" s="1"/>
  <c r="K55" i="45"/>
  <c r="K56" i="45" s="1"/>
  <c r="K68" i="45"/>
  <c r="K69" i="45" s="1"/>
  <c r="K81" i="45"/>
  <c r="K21" i="46"/>
  <c r="K74" i="46"/>
  <c r="K75" i="46" s="1"/>
  <c r="K31" i="46"/>
  <c r="K32" i="46" s="1"/>
  <c r="K43" i="46"/>
  <c r="K44" i="46" s="1"/>
  <c r="K55" i="46"/>
  <c r="K56" i="46" s="1"/>
  <c r="K68" i="46"/>
  <c r="K69" i="46" s="1"/>
  <c r="K37" i="47"/>
  <c r="K38" i="47" s="1"/>
  <c r="K49" i="47"/>
  <c r="K50" i="47" s="1"/>
  <c r="K61" i="47"/>
  <c r="K62" i="47" s="1"/>
  <c r="K21" i="47"/>
  <c r="K74" i="47"/>
  <c r="K75" i="47" s="1"/>
  <c r="K43" i="44"/>
  <c r="K44" i="44" s="1"/>
  <c r="K55" i="44"/>
  <c r="K56" i="44" s="1"/>
  <c r="K81" i="44"/>
  <c r="K37" i="44"/>
  <c r="K38" i="44" s="1"/>
  <c r="K37" i="43"/>
  <c r="K38" i="43" s="1"/>
  <c r="K49" i="43"/>
  <c r="K50" i="43" s="1"/>
  <c r="K61" i="43"/>
  <c r="K62" i="43" s="1"/>
  <c r="K21" i="43"/>
  <c r="K80" i="66"/>
  <c r="K80" i="64"/>
  <c r="K80" i="62"/>
  <c r="K80" i="61"/>
  <c r="K80" i="59"/>
  <c r="K80" i="57"/>
  <c r="K80" i="56"/>
  <c r="K80" i="55"/>
  <c r="K80" i="54"/>
  <c r="K80" i="53"/>
  <c r="K80" i="52"/>
  <c r="K80" i="51"/>
  <c r="K80" i="50"/>
  <c r="K80" i="49"/>
  <c r="K80" i="48"/>
  <c r="K80" i="47"/>
  <c r="K80" i="46"/>
  <c r="K80" i="45"/>
  <c r="K80" i="44"/>
  <c r="K17" i="44" l="1"/>
  <c r="O8" i="44" s="1"/>
  <c r="N17" i="44" s="1"/>
  <c r="F7" i="71" s="1"/>
  <c r="H7" i="71" s="1"/>
  <c r="K17" i="43"/>
  <c r="O8" i="43" s="1"/>
  <c r="N17" i="43" s="1"/>
  <c r="F6" i="71" s="1"/>
  <c r="G6" i="71" s="1"/>
  <c r="K17" i="57"/>
  <c r="O8" i="57" s="1"/>
  <c r="N17" i="57" s="1"/>
  <c r="O37" i="70"/>
  <c r="O34" i="70"/>
  <c r="O36" i="70"/>
  <c r="O28" i="70"/>
  <c r="O38" i="70"/>
  <c r="O33" i="70"/>
  <c r="O35" i="70"/>
  <c r="O30" i="70"/>
  <c r="O23" i="70"/>
  <c r="O25" i="70"/>
  <c r="O26" i="70"/>
  <c r="O29" i="70"/>
  <c r="O22" i="70"/>
  <c r="O27" i="70"/>
  <c r="O32" i="70"/>
  <c r="O31" i="70"/>
  <c r="K17" i="64"/>
  <c r="O8" i="64" s="1"/>
  <c r="N17" i="64" s="1"/>
  <c r="O37" i="64" s="1"/>
  <c r="K17" i="60"/>
  <c r="O8" i="60" s="1"/>
  <c r="N17" i="60" s="1"/>
  <c r="F22" i="71" s="1"/>
  <c r="H22" i="71" s="1"/>
  <c r="K17" i="56"/>
  <c r="O8" i="56" s="1"/>
  <c r="N17" i="56" s="1"/>
  <c r="F19" i="71" s="1"/>
  <c r="K17" i="50"/>
  <c r="O8" i="50" s="1"/>
  <c r="N17" i="50" s="1"/>
  <c r="K17" i="47"/>
  <c r="O8" i="47" s="1"/>
  <c r="N17" i="47" s="1"/>
  <c r="F8" i="71" s="1"/>
  <c r="I8" i="71" s="1"/>
  <c r="K17" i="49"/>
  <c r="O8" i="49" s="1"/>
  <c r="N17" i="49" s="1"/>
  <c r="K17" i="53"/>
  <c r="O8" i="53" s="1"/>
  <c r="N17" i="53" s="1"/>
  <c r="O34" i="53" s="1"/>
  <c r="K17" i="61"/>
  <c r="O8" i="61" s="1"/>
  <c r="N17" i="61" s="1"/>
  <c r="K17" i="51"/>
  <c r="O8" i="51" s="1"/>
  <c r="N17" i="51" s="1"/>
  <c r="O26" i="51" s="1"/>
  <c r="K17" i="52"/>
  <c r="O8" i="52" s="1"/>
  <c r="N17" i="52" s="1"/>
  <c r="F15" i="71" s="1"/>
  <c r="K17" i="45"/>
  <c r="O8" i="45" s="1"/>
  <c r="N17" i="45" s="1"/>
  <c r="O31" i="45" s="1"/>
  <c r="K17" i="55"/>
  <c r="O8" i="55" s="1"/>
  <c r="N17" i="55" s="1"/>
  <c r="F18" i="71" s="1"/>
  <c r="K17" i="66"/>
  <c r="O8" i="66" s="1"/>
  <c r="N17" i="66" s="1"/>
  <c r="F23" i="71" s="1"/>
  <c r="K17" i="48"/>
  <c r="O8" i="48" s="1"/>
  <c r="N17" i="48" s="1"/>
  <c r="O27" i="48" s="1"/>
  <c r="K17" i="59"/>
  <c r="O8" i="59" s="1"/>
  <c r="N17" i="59" s="1"/>
  <c r="O31" i="59" s="1"/>
  <c r="K17" i="62"/>
  <c r="O8" i="62" s="1"/>
  <c r="N17" i="62" s="1"/>
  <c r="O23" i="62" s="1"/>
  <c r="K17" i="46"/>
  <c r="O8" i="46" s="1"/>
  <c r="N17" i="46" s="1"/>
  <c r="O30" i="46" s="1"/>
  <c r="K17" i="54"/>
  <c r="O8" i="54" s="1"/>
  <c r="N17" i="54" s="1"/>
  <c r="O30" i="54" s="1"/>
  <c r="O22" i="60" l="1"/>
  <c r="O29" i="64"/>
  <c r="O27" i="60"/>
  <c r="O29" i="60"/>
  <c r="O31" i="56"/>
  <c r="O36" i="56"/>
  <c r="O25" i="56"/>
  <c r="O27" i="56"/>
  <c r="O28" i="44"/>
  <c r="O33" i="44"/>
  <c r="O31" i="44"/>
  <c r="G7" i="71"/>
  <c r="O27" i="44"/>
  <c r="O37" i="44"/>
  <c r="O26" i="44"/>
  <c r="O32" i="48"/>
  <c r="O22" i="48"/>
  <c r="O34" i="48"/>
  <c r="O32" i="47"/>
  <c r="O25" i="44"/>
  <c r="O22" i="44"/>
  <c r="I7" i="71"/>
  <c r="O35" i="44"/>
  <c r="O32" i="44"/>
  <c r="O30" i="44"/>
  <c r="O29" i="44"/>
  <c r="O34" i="44"/>
  <c r="O36" i="44"/>
  <c r="O23" i="44"/>
  <c r="O25" i="64"/>
  <c r="O22" i="64"/>
  <c r="O33" i="64"/>
  <c r="O28" i="64"/>
  <c r="O34" i="64"/>
  <c r="O32" i="64"/>
  <c r="O36" i="64"/>
  <c r="O23" i="56"/>
  <c r="O29" i="52"/>
  <c r="O27" i="47"/>
  <c r="O34" i="47"/>
  <c r="O23" i="47"/>
  <c r="O28" i="43"/>
  <c r="O22" i="43"/>
  <c r="O23" i="43"/>
  <c r="O27" i="43"/>
  <c r="O25" i="43"/>
  <c r="H6" i="71"/>
  <c r="O32" i="43"/>
  <c r="O35" i="43"/>
  <c r="O30" i="43"/>
  <c r="O36" i="43"/>
  <c r="I6" i="71"/>
  <c r="O29" i="43"/>
  <c r="O31" i="43"/>
  <c r="O34" i="43"/>
  <c r="O33" i="43"/>
  <c r="O26" i="43"/>
  <c r="O37" i="43"/>
  <c r="O28" i="60"/>
  <c r="O36" i="60"/>
  <c r="F20" i="71"/>
  <c r="H20" i="71" s="1"/>
  <c r="O27" i="57"/>
  <c r="O35" i="57"/>
  <c r="O26" i="57"/>
  <c r="O22" i="57"/>
  <c r="O32" i="57"/>
  <c r="O23" i="57"/>
  <c r="O25" i="57"/>
  <c r="O31" i="57"/>
  <c r="O26" i="56"/>
  <c r="O29" i="56"/>
  <c r="O33" i="56"/>
  <c r="O28" i="56"/>
  <c r="O35" i="56"/>
  <c r="O34" i="52"/>
  <c r="O35" i="51"/>
  <c r="O37" i="51"/>
  <c r="O29" i="66"/>
  <c r="O36" i="66"/>
  <c r="O23" i="66"/>
  <c r="O32" i="66"/>
  <c r="O28" i="66"/>
  <c r="O26" i="66"/>
  <c r="O31" i="66"/>
  <c r="O25" i="66"/>
  <c r="O35" i="66"/>
  <c r="O33" i="66"/>
  <c r="O39" i="70"/>
  <c r="G22" i="71"/>
  <c r="O26" i="64"/>
  <c r="O35" i="64"/>
  <c r="O23" i="64"/>
  <c r="O30" i="64"/>
  <c r="O31" i="64"/>
  <c r="O27" i="64"/>
  <c r="F25" i="71"/>
  <c r="G23" i="71"/>
  <c r="H23" i="71"/>
  <c r="I23" i="71"/>
  <c r="O30" i="66"/>
  <c r="O34" i="66"/>
  <c r="O27" i="66"/>
  <c r="O22" i="66"/>
  <c r="O37" i="66"/>
  <c r="O37" i="60"/>
  <c r="O34" i="60"/>
  <c r="O30" i="60"/>
  <c r="O31" i="60"/>
  <c r="I22" i="71"/>
  <c r="O32" i="60"/>
  <c r="O26" i="60"/>
  <c r="O25" i="60"/>
  <c r="O23" i="60"/>
  <c r="O35" i="60"/>
  <c r="O33" i="60"/>
  <c r="O34" i="57"/>
  <c r="O29" i="57"/>
  <c r="O28" i="57"/>
  <c r="O36" i="57"/>
  <c r="O33" i="57"/>
  <c r="O30" i="57"/>
  <c r="O37" i="57"/>
  <c r="O34" i="56"/>
  <c r="O30" i="56"/>
  <c r="O32" i="56"/>
  <c r="O22" i="56"/>
  <c r="O37" i="56"/>
  <c r="O32" i="55"/>
  <c r="O34" i="55"/>
  <c r="O25" i="55"/>
  <c r="O35" i="55"/>
  <c r="O29" i="55"/>
  <c r="O36" i="55"/>
  <c r="O28" i="55"/>
  <c r="O22" i="55"/>
  <c r="O33" i="53"/>
  <c r="O29" i="53"/>
  <c r="O28" i="52"/>
  <c r="O25" i="51"/>
  <c r="O27" i="51"/>
  <c r="O23" i="50"/>
  <c r="O25" i="50"/>
  <c r="O36" i="50"/>
  <c r="O25" i="48"/>
  <c r="O26" i="48"/>
  <c r="O28" i="48"/>
  <c r="O37" i="48"/>
  <c r="O23" i="46"/>
  <c r="O29" i="46"/>
  <c r="G8" i="71"/>
  <c r="O36" i="47"/>
  <c r="O30" i="47"/>
  <c r="O28" i="47"/>
  <c r="O37" i="47"/>
  <c r="O29" i="47"/>
  <c r="O33" i="47"/>
  <c r="O31" i="47"/>
  <c r="O22" i="47"/>
  <c r="H8" i="71"/>
  <c r="O35" i="47"/>
  <c r="O25" i="47"/>
  <c r="O26" i="47"/>
  <c r="O28" i="62"/>
  <c r="O25" i="62"/>
  <c r="O36" i="62"/>
  <c r="O22" i="62"/>
  <c r="O29" i="62"/>
  <c r="O33" i="62"/>
  <c r="O34" i="62"/>
  <c r="O26" i="62"/>
  <c r="O27" i="62"/>
  <c r="F26" i="71"/>
  <c r="O35" i="62"/>
  <c r="O32" i="62"/>
  <c r="O31" i="62"/>
  <c r="O37" i="62"/>
  <c r="O23" i="48"/>
  <c r="F11" i="71"/>
  <c r="O35" i="45"/>
  <c r="O37" i="45"/>
  <c r="F10" i="71"/>
  <c r="O33" i="45"/>
  <c r="O27" i="46"/>
  <c r="O33" i="46"/>
  <c r="F9" i="71"/>
  <c r="O28" i="46"/>
  <c r="O37" i="46"/>
  <c r="O26" i="46"/>
  <c r="O32" i="46"/>
  <c r="O35" i="50"/>
  <c r="F12" i="71"/>
  <c r="G12" i="71" s="1"/>
  <c r="O28" i="49"/>
  <c r="O26" i="49"/>
  <c r="O29" i="49"/>
  <c r="O32" i="49"/>
  <c r="O34" i="49"/>
  <c r="O35" i="49"/>
  <c r="O23" i="49"/>
  <c r="O36" i="49"/>
  <c r="O33" i="49"/>
  <c r="O31" i="49"/>
  <c r="O22" i="49"/>
  <c r="O28" i="59"/>
  <c r="O36" i="59"/>
  <c r="O30" i="59"/>
  <c r="O37" i="59"/>
  <c r="O25" i="59"/>
  <c r="O22" i="59"/>
  <c r="G20" i="71"/>
  <c r="H19" i="71"/>
  <c r="I19" i="71"/>
  <c r="G19" i="71"/>
  <c r="G18" i="71"/>
  <c r="H18" i="71"/>
  <c r="I18" i="71"/>
  <c r="O31" i="55"/>
  <c r="O26" i="55"/>
  <c r="O23" i="55"/>
  <c r="O33" i="55"/>
  <c r="O30" i="55"/>
  <c r="O27" i="55"/>
  <c r="O37" i="55"/>
  <c r="O29" i="54"/>
  <c r="O31" i="54"/>
  <c r="O22" i="54"/>
  <c r="F17" i="71"/>
  <c r="O27" i="53"/>
  <c r="F16" i="71"/>
  <c r="O26" i="53"/>
  <c r="O35" i="53"/>
  <c r="O23" i="53"/>
  <c r="O32" i="53"/>
  <c r="O31" i="53"/>
  <c r="O37" i="53"/>
  <c r="O28" i="53"/>
  <c r="O25" i="53"/>
  <c r="O36" i="53"/>
  <c r="O22" i="53"/>
  <c r="O30" i="53"/>
  <c r="O36" i="52"/>
  <c r="O33" i="52"/>
  <c r="O30" i="52"/>
  <c r="O37" i="52"/>
  <c r="O31" i="52"/>
  <c r="O25" i="52"/>
  <c r="O26" i="52"/>
  <c r="O23" i="52"/>
  <c r="O35" i="52"/>
  <c r="O32" i="52"/>
  <c r="O27" i="52"/>
  <c r="O22" i="52"/>
  <c r="I15" i="71"/>
  <c r="G15" i="71"/>
  <c r="H15" i="71"/>
  <c r="O31" i="51"/>
  <c r="O23" i="51"/>
  <c r="F14" i="71"/>
  <c r="O32" i="51"/>
  <c r="O22" i="51"/>
  <c r="O31" i="50"/>
  <c r="F13" i="71"/>
  <c r="O27" i="49"/>
  <c r="O25" i="49"/>
  <c r="O30" i="49"/>
  <c r="O37" i="49"/>
  <c r="O25" i="61"/>
  <c r="F24" i="71"/>
  <c r="O35" i="61"/>
  <c r="O30" i="61"/>
  <c r="O26" i="61"/>
  <c r="O37" i="61"/>
  <c r="O33" i="61"/>
  <c r="O22" i="61"/>
  <c r="O28" i="61"/>
  <c r="O23" i="61"/>
  <c r="O36" i="61"/>
  <c r="O34" i="61"/>
  <c r="O32" i="59"/>
  <c r="F21" i="71"/>
  <c r="O29" i="59"/>
  <c r="O33" i="59"/>
  <c r="O34" i="59"/>
  <c r="O26" i="59"/>
  <c r="O35" i="59"/>
  <c r="O23" i="59"/>
  <c r="O27" i="59"/>
  <c r="O27" i="45"/>
  <c r="O23" i="45"/>
  <c r="O36" i="45"/>
  <c r="O34" i="45"/>
  <c r="O25" i="45"/>
  <c r="O22" i="45"/>
  <c r="O29" i="45"/>
  <c r="O30" i="45"/>
  <c r="O26" i="45"/>
  <c r="O28" i="45"/>
  <c r="O32" i="45"/>
  <c r="O29" i="61"/>
  <c r="O32" i="61"/>
  <c r="O27" i="61"/>
  <c r="O31" i="61"/>
  <c r="O34" i="51"/>
  <c r="O29" i="51"/>
  <c r="O28" i="51"/>
  <c r="O36" i="51"/>
  <c r="O33" i="51"/>
  <c r="O30" i="51"/>
  <c r="O32" i="50"/>
  <c r="O36" i="54"/>
  <c r="O36" i="46"/>
  <c r="O31" i="48"/>
  <c r="O26" i="54"/>
  <c r="O27" i="54"/>
  <c r="O33" i="54"/>
  <c r="O37" i="54"/>
  <c r="O36" i="48"/>
  <c r="O34" i="50"/>
  <c r="O33" i="50"/>
  <c r="O37" i="50"/>
  <c r="O22" i="50"/>
  <c r="O35" i="54"/>
  <c r="O28" i="54"/>
  <c r="O23" i="54"/>
  <c r="O26" i="50"/>
  <c r="O34" i="46"/>
  <c r="O25" i="46"/>
  <c r="O22" i="46"/>
  <c r="O35" i="48"/>
  <c r="O33" i="48"/>
  <c r="O27" i="50"/>
  <c r="O35" i="46"/>
  <c r="O31" i="46"/>
  <c r="O29" i="48"/>
  <c r="O30" i="48"/>
  <c r="O30" i="50"/>
  <c r="O29" i="50"/>
  <c r="O32" i="54"/>
  <c r="O34" i="54"/>
  <c r="O25" i="54"/>
  <c r="O28" i="50"/>
  <c r="O30" i="62"/>
  <c r="O38" i="60" l="1"/>
  <c r="I20" i="71"/>
  <c r="O38" i="56"/>
  <c r="O38" i="55"/>
  <c r="O38" i="44"/>
  <c r="O38" i="43"/>
  <c r="I12" i="71"/>
  <c r="O38" i="47"/>
  <c r="O38" i="64"/>
  <c r="O38" i="66"/>
  <c r="O38" i="57"/>
  <c r="O38" i="53"/>
  <c r="O38" i="52"/>
  <c r="I25" i="71"/>
  <c r="G25" i="71"/>
  <c r="H25" i="71"/>
  <c r="O38" i="48"/>
  <c r="O38" i="46"/>
  <c r="G26" i="71"/>
  <c r="H26" i="71"/>
  <c r="I26" i="71"/>
  <c r="O38" i="62"/>
  <c r="G11" i="71"/>
  <c r="I11" i="71"/>
  <c r="H11" i="71"/>
  <c r="H10" i="71"/>
  <c r="G10" i="71"/>
  <c r="I10" i="71"/>
  <c r="O38" i="45"/>
  <c r="H9" i="71"/>
  <c r="I9" i="71"/>
  <c r="G9" i="71"/>
  <c r="O38" i="51"/>
  <c r="O38" i="50"/>
  <c r="H12" i="71"/>
  <c r="O38" i="49"/>
  <c r="O38" i="59"/>
  <c r="O38" i="54"/>
  <c r="I17" i="71"/>
  <c r="G17" i="71"/>
  <c r="H17" i="71"/>
  <c r="G16" i="71"/>
  <c r="I16" i="71"/>
  <c r="H16" i="71"/>
  <c r="G14" i="71"/>
  <c r="I14" i="71"/>
  <c r="H14" i="71"/>
  <c r="I13" i="71"/>
  <c r="G13" i="71"/>
  <c r="H13" i="71"/>
  <c r="O38" i="61"/>
  <c r="G24" i="71"/>
  <c r="I24" i="71"/>
  <c r="H24" i="71"/>
  <c r="G21" i="71"/>
  <c r="I21" i="71"/>
  <c r="H21" i="71"/>
  <c r="K79" i="42"/>
  <c r="K78" i="42"/>
  <c r="K73" i="42"/>
  <c r="K72" i="42"/>
  <c r="K67" i="42"/>
  <c r="K66" i="42"/>
  <c r="K65" i="42"/>
  <c r="K60" i="42"/>
  <c r="K59" i="42"/>
  <c r="K54" i="42"/>
  <c r="K53" i="42"/>
  <c r="K21" i="42" s="1"/>
  <c r="K48" i="42"/>
  <c r="K47" i="42"/>
  <c r="K42" i="42"/>
  <c r="K41" i="42"/>
  <c r="K36" i="42"/>
  <c r="K35" i="42"/>
  <c r="K30" i="42"/>
  <c r="K29" i="42"/>
  <c r="O14" i="42"/>
  <c r="O12" i="42"/>
  <c r="K79" i="41"/>
  <c r="K78" i="41"/>
  <c r="K73" i="41"/>
  <c r="K72" i="41"/>
  <c r="K67" i="41"/>
  <c r="K66" i="41"/>
  <c r="K65" i="41"/>
  <c r="K60" i="41"/>
  <c r="K59" i="41"/>
  <c r="K54" i="41"/>
  <c r="K53" i="41"/>
  <c r="K48" i="41"/>
  <c r="K47" i="41"/>
  <c r="K42" i="41"/>
  <c r="K41" i="41"/>
  <c r="K36" i="41"/>
  <c r="K35" i="41"/>
  <c r="K30" i="41"/>
  <c r="K29" i="41"/>
  <c r="K20" i="41"/>
  <c r="K16" i="41"/>
  <c r="O14" i="41"/>
  <c r="K13" i="41"/>
  <c r="O12" i="41"/>
  <c r="K12" i="41"/>
  <c r="K11" i="41"/>
  <c r="O10" i="41"/>
  <c r="K10" i="41"/>
  <c r="K9" i="41"/>
  <c r="K79" i="40"/>
  <c r="K78" i="40"/>
  <c r="K73" i="40"/>
  <c r="K72" i="40"/>
  <c r="K67" i="40"/>
  <c r="K66" i="40"/>
  <c r="K65" i="40"/>
  <c r="K60" i="40"/>
  <c r="K59" i="40"/>
  <c r="K54" i="40"/>
  <c r="K53" i="40"/>
  <c r="K48" i="40"/>
  <c r="K47" i="40"/>
  <c r="K49" i="40" s="1"/>
  <c r="K50" i="40" s="1"/>
  <c r="K42" i="40"/>
  <c r="K41" i="40"/>
  <c r="K36" i="40"/>
  <c r="K35" i="40"/>
  <c r="K30" i="40"/>
  <c r="K29" i="40"/>
  <c r="K20" i="40"/>
  <c r="K16" i="40"/>
  <c r="O14" i="40"/>
  <c r="K13" i="40"/>
  <c r="O12" i="40"/>
  <c r="K12" i="40"/>
  <c r="K11" i="40"/>
  <c r="O10" i="40"/>
  <c r="K10" i="40"/>
  <c r="K9" i="40"/>
  <c r="K81" i="41" l="1"/>
  <c r="K74" i="42"/>
  <c r="K75" i="42" s="1"/>
  <c r="K31" i="41"/>
  <c r="K32" i="41" s="1"/>
  <c r="K43" i="40"/>
  <c r="K44" i="40" s="1"/>
  <c r="K31" i="42"/>
  <c r="K32" i="42" s="1"/>
  <c r="K49" i="42"/>
  <c r="K50" i="42" s="1"/>
  <c r="K61" i="42"/>
  <c r="K62" i="42" s="1"/>
  <c r="K68" i="42"/>
  <c r="K69" i="42" s="1"/>
  <c r="K37" i="41"/>
  <c r="K38" i="41" s="1"/>
  <c r="K43" i="42"/>
  <c r="K44" i="42" s="1"/>
  <c r="K55" i="42"/>
  <c r="K56" i="42" s="1"/>
  <c r="K81" i="42"/>
  <c r="K37" i="42"/>
  <c r="K38" i="42" s="1"/>
  <c r="K43" i="41"/>
  <c r="K44" i="41" s="1"/>
  <c r="K55" i="41"/>
  <c r="K56" i="41" s="1"/>
  <c r="K68" i="41"/>
  <c r="K69" i="41" s="1"/>
  <c r="K21" i="41"/>
  <c r="K49" i="41"/>
  <c r="K50" i="41" s="1"/>
  <c r="K61" i="41"/>
  <c r="K62" i="41" s="1"/>
  <c r="K74" i="41"/>
  <c r="K75" i="41" s="1"/>
  <c r="K37" i="40"/>
  <c r="K38" i="40" s="1"/>
  <c r="K81" i="40"/>
  <c r="K31" i="40"/>
  <c r="K32" i="40" s="1"/>
  <c r="K61" i="40"/>
  <c r="K62" i="40" s="1"/>
  <c r="K74" i="40"/>
  <c r="K75" i="40" s="1"/>
  <c r="K55" i="40"/>
  <c r="K56" i="40" s="1"/>
  <c r="K21" i="40"/>
  <c r="K68" i="40"/>
  <c r="K69" i="40" s="1"/>
  <c r="K80" i="40"/>
  <c r="K80" i="42"/>
  <c r="K80" i="41"/>
  <c r="K17" i="42" l="1"/>
  <c r="O8" i="42" s="1"/>
  <c r="N17" i="42" s="1"/>
  <c r="K17" i="41"/>
  <c r="O8" i="41" s="1"/>
  <c r="N17" i="41" s="1"/>
  <c r="K17" i="40"/>
  <c r="O8" i="40" s="1"/>
  <c r="N17" i="40" s="1"/>
  <c r="F3" i="71" s="1"/>
  <c r="F5" i="71" l="1"/>
  <c r="I5" i="71" s="1"/>
  <c r="O27" i="42"/>
  <c r="O34" i="42"/>
  <c r="O31" i="42"/>
  <c r="O36" i="42"/>
  <c r="O37" i="42"/>
  <c r="O32" i="42"/>
  <c r="O28" i="42"/>
  <c r="O23" i="42"/>
  <c r="O25" i="42"/>
  <c r="O26" i="42"/>
  <c r="O29" i="42"/>
  <c r="O35" i="42"/>
  <c r="O22" i="42"/>
  <c r="O33" i="42"/>
  <c r="O30" i="42"/>
  <c r="F4" i="71"/>
  <c r="H4" i="71" s="1"/>
  <c r="O27" i="41"/>
  <c r="O22" i="41"/>
  <c r="O30" i="41"/>
  <c r="O36" i="41"/>
  <c r="O32" i="41"/>
  <c r="O35" i="41"/>
  <c r="O33" i="41"/>
  <c r="O29" i="41"/>
  <c r="O34" i="41"/>
  <c r="O25" i="41"/>
  <c r="O28" i="41"/>
  <c r="O37" i="41"/>
  <c r="O31" i="41"/>
  <c r="O26" i="41"/>
  <c r="O23" i="41"/>
  <c r="H3" i="71"/>
  <c r="G3" i="71"/>
  <c r="I3" i="71"/>
  <c r="O29" i="40"/>
  <c r="O22" i="40"/>
  <c r="O27" i="40"/>
  <c r="O34" i="40"/>
  <c r="O35" i="40"/>
  <c r="O33" i="40"/>
  <c r="O26" i="40"/>
  <c r="O23" i="40"/>
  <c r="O36" i="40"/>
  <c r="O28" i="40"/>
  <c r="O25" i="40"/>
  <c r="O30" i="40"/>
  <c r="O32" i="40"/>
  <c r="O31" i="40"/>
  <c r="O37" i="40"/>
  <c r="I4" i="71" l="1"/>
  <c r="G4" i="71"/>
  <c r="H5" i="71"/>
  <c r="G5" i="71"/>
  <c r="O38" i="42"/>
  <c r="O38" i="41"/>
  <c r="O38" i="40"/>
  <c r="O14" i="1"/>
  <c r="O12" i="1"/>
  <c r="O10" i="1"/>
  <c r="K66" i="1"/>
  <c r="K65" i="1"/>
  <c r="K20" i="1"/>
  <c r="K13" i="1"/>
  <c r="K10" i="1"/>
  <c r="K11" i="1"/>
  <c r="K9" i="1"/>
  <c r="K79" i="1"/>
  <c r="K67" i="1"/>
  <c r="K36" i="1"/>
  <c r="K30" i="1"/>
  <c r="K73" i="1"/>
  <c r="K60" i="1"/>
  <c r="K54" i="1"/>
  <c r="K48" i="1"/>
  <c r="K42" i="1"/>
  <c r="K72" i="1"/>
  <c r="K59" i="1"/>
  <c r="K53" i="1"/>
  <c r="K47" i="1"/>
  <c r="K41" i="1"/>
  <c r="K35" i="1"/>
  <c r="K37" i="1" s="1"/>
  <c r="K38" i="1" s="1"/>
  <c r="K29" i="1"/>
  <c r="K16" i="1"/>
  <c r="K61" i="1" l="1"/>
  <c r="K62" i="1" s="1"/>
  <c r="K31" i="1"/>
  <c r="K32" i="1" s="1"/>
  <c r="K68" i="1"/>
  <c r="K69" i="1" s="1"/>
  <c r="K49" i="1"/>
  <c r="K50" i="1" s="1"/>
  <c r="K55" i="1"/>
  <c r="K56" i="1" s="1"/>
  <c r="K43" i="1"/>
  <c r="K44" i="1" s="1"/>
  <c r="K74" i="1"/>
  <c r="K75" i="1" s="1"/>
  <c r="K78" i="1" l="1"/>
  <c r="K81" i="1" l="1"/>
  <c r="K80" i="1"/>
  <c r="K21" i="1"/>
  <c r="K17" i="1" l="1"/>
  <c r="O8" i="1" s="1"/>
  <c r="N17" i="1" s="1"/>
  <c r="F2" i="71" s="1"/>
  <c r="I2" i="71" l="1"/>
  <c r="G2" i="71"/>
  <c r="H2" i="71"/>
  <c r="O34" i="1"/>
  <c r="O36" i="1"/>
  <c r="O35" i="1"/>
  <c r="O30" i="1"/>
  <c r="O26" i="1"/>
  <c r="O37" i="1"/>
  <c r="O23" i="1"/>
  <c r="O25" i="1"/>
  <c r="O28" i="1"/>
  <c r="O22" i="1"/>
  <c r="O31" i="1"/>
  <c r="O29" i="1"/>
  <c r="O32" i="1"/>
  <c r="O27" i="1"/>
  <c r="O33" i="1"/>
  <c r="O38" i="1" l="1"/>
</calcChain>
</file>

<file path=xl/comments1.xml><?xml version="1.0" encoding="utf-8"?>
<comments xmlns="http://schemas.openxmlformats.org/spreadsheetml/2006/main">
  <authors>
    <author>Mark Brush</author>
  </authors>
  <commentList>
    <comment ref="B9" authorId="0">
      <text>
        <r>
          <rPr>
            <sz val="9"/>
            <color indexed="81"/>
            <rFont val="Tahoma"/>
            <family val="2"/>
          </rPr>
          <t>Enter the annual rate of atmospheric deposition (wet + dry).  Representative values for DE, MD, and VA can be found on the following worksheets.</t>
        </r>
      </text>
    </comment>
    <comment ref="B10" authorId="0">
      <text>
        <r>
          <rPr>
            <sz val="9"/>
            <color indexed="81"/>
            <rFont val="Tahoma"/>
            <family val="2"/>
          </rPr>
          <t>Enter the annual discharge from point sources directly into tidal waters or into rivers or streams with minimal chance for attenuation before reaching tidal waters.</t>
        </r>
      </text>
    </comment>
    <comment ref="B11" authorId="0">
      <text>
        <r>
          <rPr>
            <sz val="9"/>
            <color indexed="81"/>
            <rFont val="Tahoma"/>
            <family val="2"/>
          </rPr>
          <t xml:space="preserve">Enter the number of residents served by on-site septic systems.  A single annual value is needed; the user could enter the resident population only, or weight the number to account for any seasonal residents on septic.  </t>
        </r>
      </text>
    </comment>
    <comment ref="B12" authorId="0">
      <text>
        <r>
          <rPr>
            <sz val="9"/>
            <color indexed="81"/>
            <rFont val="Tahoma"/>
            <family val="2"/>
          </rPr>
          <t>Enter the total number of chickens in the watershed over the year.  Multiply the number of chickens present at any one time by the number of rotations per year.</t>
        </r>
      </text>
    </comment>
    <comment ref="B13" authorId="0">
      <text>
        <r>
          <rPr>
            <sz val="9"/>
            <color indexed="81"/>
            <rFont val="Tahoma"/>
            <family val="2"/>
          </rPr>
          <t>Enter the area of the receiving coastal bay if appropriate.  If no value is entered, the model will not compute any direct atmospheric deposition to tidal waters (cell O14).</t>
        </r>
      </text>
    </comment>
    <comment ref="B14" authorId="0">
      <text>
        <r>
          <rPr>
            <sz val="9"/>
            <color indexed="81"/>
            <rFont val="Tahoma"/>
            <family val="2"/>
          </rPr>
          <t>Enter the annual application rate of spray effluent if appropriate.  
This option is not available on the following worksheets for specific watersheds.</t>
        </r>
      </text>
    </comment>
    <comment ref="B15" authorId="0">
      <text>
        <r>
          <rPr>
            <sz val="9"/>
            <color indexed="81"/>
            <rFont val="Tahoma"/>
            <family val="2"/>
          </rPr>
          <t>Enter the area to which spray effluent is applied, if appropriate.  
This option is not available on the following worksheets for specific watersheds.</t>
        </r>
      </text>
    </comment>
    <comment ref="F16" authorId="0">
      <text>
        <r>
          <rPr>
            <sz val="9"/>
            <color indexed="81"/>
            <rFont val="Tahoma"/>
            <family val="2"/>
          </rPr>
          <t>Note</t>
        </r>
        <r>
          <rPr>
            <b/>
            <sz val="9"/>
            <color indexed="81"/>
            <rFont val="Tahoma"/>
            <family val="2"/>
          </rPr>
          <t xml:space="preserve"> </t>
        </r>
        <r>
          <rPr>
            <sz val="9"/>
            <color indexed="81"/>
            <rFont val="Tahoma"/>
            <family val="2"/>
          </rPr>
          <t>this term is not available on the following worksheets for specific watersheds.</t>
        </r>
      </text>
    </comment>
    <comment ref="B17" authorId="0">
      <text>
        <r>
          <rPr>
            <sz val="9"/>
            <color indexed="81"/>
            <rFont val="Tahoma"/>
            <family val="2"/>
          </rPr>
          <t>Enter the total area in each major land use category, excluding open water and agriculture.</t>
        </r>
      </text>
    </comment>
    <comment ref="B23" authorId="0">
      <text>
        <r>
          <rPr>
            <b/>
            <sz val="9"/>
            <color indexed="81"/>
            <rFont val="Tahoma"/>
            <family val="2"/>
          </rPr>
          <t>Mark Brush:</t>
        </r>
        <r>
          <rPr>
            <sz val="9"/>
            <color indexed="81"/>
            <rFont val="Tahoma"/>
            <family val="2"/>
          </rPr>
          <t xml:space="preserve">
Enter the total area planted with each crop as appropriate.  Values should represent the mean distribution of crops over a typical year.</t>
        </r>
      </text>
    </comment>
    <comment ref="J24" authorId="0">
      <text>
        <r>
          <rPr>
            <sz val="9"/>
            <color indexed="81"/>
            <rFont val="Tahoma"/>
            <family val="2"/>
          </rPr>
          <t>Note this term is not available on the following worksheets for specific watersheds.</t>
        </r>
      </text>
    </comment>
    <comment ref="B34" authorId="0">
      <text>
        <r>
          <rPr>
            <sz val="9"/>
            <color indexed="81"/>
            <rFont val="Tahoma"/>
            <family val="2"/>
          </rPr>
          <t>Enter annual fertilization rates for lawns and for each crop.  Representative values for DE, MD, and VA can be found on the following worksheets.</t>
        </r>
      </text>
    </comment>
    <comment ref="N36" authorId="0">
      <text>
        <r>
          <rPr>
            <sz val="9"/>
            <color indexed="81"/>
            <rFont val="Tahoma"/>
            <family val="2"/>
          </rPr>
          <t>Note this term is not available on the following worksheets for specific watersheds.</t>
        </r>
      </text>
    </comment>
    <comment ref="B47" authorId="0">
      <text>
        <r>
          <rPr>
            <sz val="9"/>
            <color indexed="81"/>
            <rFont val="Tahoma"/>
            <family val="2"/>
          </rPr>
          <t>Enter annual agricultural yields for each crop, reflecting standard % moisture contents at harvest.  Representative values for DE, MD, and VA can be found on the following worksheets.</t>
        </r>
      </text>
    </comment>
    <comment ref="B58" authorId="0">
      <text>
        <r>
          <rPr>
            <sz val="9"/>
            <color indexed="81"/>
            <rFont val="Tahoma"/>
            <family val="2"/>
          </rPr>
          <t>The default version of the NLM assumes that poultry waste is applied to meet crop fertilizer needs within the same watershed.  Waste in excess of fertilizer needs is input to the groundwater. 
Enter "no" to use this default setting.
Enter "yes" if excess waste is instead transported out of the watershed.
This option is not available on the following worksheets for specific watersheds.</t>
        </r>
      </text>
    </comment>
    <comment ref="B60" authorId="0">
      <text>
        <r>
          <rPr>
            <sz val="9"/>
            <color indexed="81"/>
            <rFont val="Tahoma"/>
            <family val="2"/>
          </rPr>
          <t>The default version of the NLM assumes that atmospheric deposition onto impervious surfaces runs off onto pervious land and enters the groundwater.  These inputs are then subject to losses in the vadose zone and aquifer.  Conversely, some impervious surfaces may drain directly to tidal waters or rivers/streams with minimal attenuation before reaching tidal waters.
Use this term to enter the fraction of impervious surfaces draining directly to tidal waters.  Any inputs from these surfaces are counted under the Point Source inputs in cell O12.
This option is not available on the following worksheets for specific watersheds.</t>
        </r>
      </text>
    </comment>
  </commentList>
</comments>
</file>

<file path=xl/comments2.xml><?xml version="1.0" encoding="utf-8"?>
<comments xmlns="http://schemas.openxmlformats.org/spreadsheetml/2006/main">
  <authors>
    <author>Mark Brush</author>
  </authors>
  <commentList>
    <comment ref="B9" authorId="0">
      <text>
        <r>
          <rPr>
            <sz val="9"/>
            <color indexed="81"/>
            <rFont val="Tahoma"/>
            <family val="2"/>
          </rPr>
          <t>Enter the annual rate of atmospheric deposition (wet + dry).  Representative values for DE, MD, and VA can be found on the following worksheets.</t>
        </r>
      </text>
    </comment>
    <comment ref="B10" authorId="0">
      <text>
        <r>
          <rPr>
            <sz val="9"/>
            <color indexed="81"/>
            <rFont val="Tahoma"/>
            <family val="2"/>
          </rPr>
          <t>Enter the annual discharge from point sources directly into tidal waters or into rivers or streams with minimal chance for attenuation before reaching tidal waters.</t>
        </r>
      </text>
    </comment>
    <comment ref="B11" authorId="0">
      <text>
        <r>
          <rPr>
            <sz val="9"/>
            <color indexed="81"/>
            <rFont val="Tahoma"/>
            <family val="2"/>
          </rPr>
          <t xml:space="preserve">Enter the number of residents served by on-site septic systems.  A single annual value is needed; the user could enter the resident population only, or weight the number to account for any seasonal residents on septic.  </t>
        </r>
      </text>
    </comment>
    <comment ref="B12" authorId="0">
      <text>
        <r>
          <rPr>
            <sz val="9"/>
            <color indexed="81"/>
            <rFont val="Tahoma"/>
            <family val="2"/>
          </rPr>
          <t>Enter the total number of chickens in the watershed over the year.  Multiply the number of chickens present at any one time by the number of rotations per year.</t>
        </r>
      </text>
    </comment>
    <comment ref="B13" authorId="0">
      <text>
        <r>
          <rPr>
            <sz val="9"/>
            <color indexed="81"/>
            <rFont val="Tahoma"/>
            <family val="2"/>
          </rPr>
          <t>Enter the area of the receiving coastal bay if appropriate.  If no value is entered, the model will not compute any direct atmospheric deposition to tidal waters (cell O14).</t>
        </r>
      </text>
    </comment>
    <comment ref="B14" authorId="0">
      <text>
        <r>
          <rPr>
            <sz val="9"/>
            <color indexed="81"/>
            <rFont val="Tahoma"/>
            <family val="2"/>
          </rPr>
          <t>Enter the annual application rate of spray effluent if appropriate.  
This option is not available on the following worksheets for specific watersheds.</t>
        </r>
      </text>
    </comment>
    <comment ref="B15" authorId="0">
      <text>
        <r>
          <rPr>
            <sz val="9"/>
            <color indexed="81"/>
            <rFont val="Tahoma"/>
            <family val="2"/>
          </rPr>
          <t>Enter the area to which spray effluent is applied, if appropriate.  
This option is not available on the following worksheets for specific watersheds.</t>
        </r>
      </text>
    </comment>
    <comment ref="H16" authorId="0">
      <text>
        <r>
          <rPr>
            <sz val="9"/>
            <color indexed="81"/>
            <rFont val="Tahoma"/>
            <family val="2"/>
          </rPr>
          <t>Note</t>
        </r>
        <r>
          <rPr>
            <b/>
            <sz val="9"/>
            <color indexed="81"/>
            <rFont val="Tahoma"/>
            <family val="2"/>
          </rPr>
          <t xml:space="preserve"> </t>
        </r>
        <r>
          <rPr>
            <sz val="9"/>
            <color indexed="81"/>
            <rFont val="Tahoma"/>
            <family val="2"/>
          </rPr>
          <t>this term is not available on the following worksheets for specific watersheds.</t>
        </r>
      </text>
    </comment>
    <comment ref="B17" authorId="0">
      <text>
        <r>
          <rPr>
            <sz val="9"/>
            <color indexed="81"/>
            <rFont val="Tahoma"/>
            <family val="2"/>
          </rPr>
          <t>Enter the total area in each major land use category, excluding open water and agriculture.</t>
        </r>
      </text>
    </comment>
    <comment ref="B23" authorId="0">
      <text>
        <r>
          <rPr>
            <b/>
            <sz val="9"/>
            <color indexed="81"/>
            <rFont val="Tahoma"/>
            <family val="2"/>
          </rPr>
          <t>Mark Brush:</t>
        </r>
        <r>
          <rPr>
            <sz val="9"/>
            <color indexed="81"/>
            <rFont val="Tahoma"/>
            <family val="2"/>
          </rPr>
          <t xml:space="preserve">
Enter the total area planted with each crop as appropriate.  Values should represent the mean distribution of crops over a typical year.</t>
        </r>
      </text>
    </comment>
    <comment ref="L24" authorId="0">
      <text>
        <r>
          <rPr>
            <sz val="9"/>
            <color indexed="81"/>
            <rFont val="Tahoma"/>
            <family val="2"/>
          </rPr>
          <t>Note this term is not available on the following worksheets for specific watersheds.</t>
        </r>
      </text>
    </comment>
    <comment ref="B34" authorId="0">
      <text>
        <r>
          <rPr>
            <sz val="9"/>
            <color indexed="81"/>
            <rFont val="Tahoma"/>
            <family val="2"/>
          </rPr>
          <t>Enter annual fertilization rates for lawns and for each crop.  Representative values for DE, MD, and VA can be found on the following worksheets.</t>
        </r>
      </text>
    </comment>
    <comment ref="P36" authorId="0">
      <text>
        <r>
          <rPr>
            <sz val="9"/>
            <color indexed="81"/>
            <rFont val="Tahoma"/>
            <family val="2"/>
          </rPr>
          <t>Note this term is not available on the following worksheets for specific watersheds.</t>
        </r>
      </text>
    </comment>
    <comment ref="B47" authorId="0">
      <text>
        <r>
          <rPr>
            <sz val="9"/>
            <color indexed="81"/>
            <rFont val="Tahoma"/>
            <family val="2"/>
          </rPr>
          <t>Enter annual agricultural yields for each crop, reflecting standard % moisture contents at harvest.  Representative values for DE, MD, and VA can be found on the following worksheets.</t>
        </r>
      </text>
    </comment>
    <comment ref="B58" authorId="0">
      <text>
        <r>
          <rPr>
            <sz val="9"/>
            <color indexed="81"/>
            <rFont val="Tahoma"/>
            <family val="2"/>
          </rPr>
          <t>The default version of the NLM assumes that poultry waste is applied to meet crop fertilizer needs within the same watershed.  Waste in excess of fertilizer needs is input to the groundwater. 
Enter "no" to use this default setting.
Enter "yes" if excess waste is instead transported out of the watershed.
This option is not available on the following worksheets for specific watersheds.</t>
        </r>
      </text>
    </comment>
    <comment ref="B60" authorId="0">
      <text>
        <r>
          <rPr>
            <sz val="9"/>
            <color indexed="81"/>
            <rFont val="Tahoma"/>
            <family val="2"/>
          </rPr>
          <t>The default version of the NLM assumes that atmospheric deposition onto impervious surfaces runs off onto pervious land and enters the groundwater.  These inputs are then subject to losses in the vadose zone and aquifer.  Conversely, some impervious surfaces may drain directly to tidal waters or rivers/streams with minimal attenuation before reaching tidal waters.
Use this term to enter the fraction of impervious surfaces draining directly to tidal waters.  Any inputs from these surfaces are counted under the Point Source inputs in cell O12.
This option is not available on the following worksheets for specific watersheds.</t>
        </r>
      </text>
    </comment>
  </commentList>
</comments>
</file>

<file path=xl/sharedStrings.xml><?xml version="1.0" encoding="utf-8"?>
<sst xmlns="http://schemas.openxmlformats.org/spreadsheetml/2006/main" count="4456" uniqueCount="205">
  <si>
    <t>PARAMETERS</t>
  </si>
  <si>
    <t xml:space="preserve">       % lawns fertilized</t>
  </si>
  <si>
    <t xml:space="preserve">       Lawn fertilizer volatilization</t>
  </si>
  <si>
    <t xml:space="preserve">       Poultry kg N per lifetime</t>
  </si>
  <si>
    <t xml:space="preserve">       Poultry waste % volatilization</t>
  </si>
  <si>
    <t>Soybeans</t>
  </si>
  <si>
    <t>Winter Wheat</t>
  </si>
  <si>
    <r>
      <t>N in Crop (kg N y</t>
    </r>
    <r>
      <rPr>
        <vertAlign val="superscript"/>
        <sz val="10"/>
        <rFont val="Comic Sans MS"/>
        <family val="4"/>
      </rPr>
      <t>-1</t>
    </r>
    <r>
      <rPr>
        <sz val="10"/>
        <rFont val="Comic Sans MS"/>
        <family val="4"/>
      </rPr>
      <t>)</t>
    </r>
  </si>
  <si>
    <r>
      <t>N Leached w/o Cover Crop (kg N y</t>
    </r>
    <r>
      <rPr>
        <vertAlign val="superscript"/>
        <sz val="10"/>
        <rFont val="Comic Sans MS"/>
        <family val="4"/>
      </rPr>
      <t>-1</t>
    </r>
    <r>
      <rPr>
        <sz val="10"/>
        <rFont val="Comic Sans MS"/>
        <family val="4"/>
      </rPr>
      <t>)</t>
    </r>
  </si>
  <si>
    <r>
      <t>Poultry Waste (kg N y</t>
    </r>
    <r>
      <rPr>
        <vertAlign val="superscript"/>
        <sz val="10"/>
        <rFont val="Comic Sans MS"/>
        <family val="4"/>
      </rPr>
      <t>-1</t>
    </r>
    <r>
      <rPr>
        <sz val="10"/>
        <rFont val="Comic Sans MS"/>
        <family val="4"/>
      </rPr>
      <t>)</t>
    </r>
  </si>
  <si>
    <r>
      <t>Excess Poultry Waste (kg N y</t>
    </r>
    <r>
      <rPr>
        <vertAlign val="superscript"/>
        <sz val="10"/>
        <rFont val="Comic Sans MS"/>
        <family val="4"/>
      </rPr>
      <t>-1</t>
    </r>
    <r>
      <rPr>
        <sz val="10"/>
        <rFont val="Comic Sans MS"/>
        <family val="4"/>
      </rPr>
      <t>)</t>
    </r>
  </si>
  <si>
    <r>
      <t>N Mobilized (kg N y</t>
    </r>
    <r>
      <rPr>
        <vertAlign val="superscript"/>
        <sz val="10"/>
        <rFont val="Comic Sans MS"/>
        <family val="4"/>
      </rPr>
      <t>-1</t>
    </r>
    <r>
      <rPr>
        <sz val="10"/>
        <rFont val="Comic Sans MS"/>
        <family val="4"/>
      </rPr>
      <t>)</t>
    </r>
  </si>
  <si>
    <r>
      <t>Groundwater Input (kg N y</t>
    </r>
    <r>
      <rPr>
        <vertAlign val="superscript"/>
        <sz val="10"/>
        <rFont val="Comic Sans MS"/>
        <family val="4"/>
      </rPr>
      <t>-1</t>
    </r>
    <r>
      <rPr>
        <sz val="10"/>
        <rFont val="Comic Sans MS"/>
        <family val="4"/>
      </rPr>
      <t>)</t>
    </r>
  </si>
  <si>
    <r>
      <t>Wastewater Input (kg N y</t>
    </r>
    <r>
      <rPr>
        <vertAlign val="superscript"/>
        <sz val="10"/>
        <rFont val="Comic Sans MS"/>
        <family val="4"/>
      </rPr>
      <t>-1</t>
    </r>
    <r>
      <rPr>
        <sz val="10"/>
        <rFont val="Comic Sans MS"/>
        <family val="4"/>
      </rPr>
      <t>)</t>
    </r>
  </si>
  <si>
    <r>
      <t>N in Crop (kg N y</t>
    </r>
    <r>
      <rPr>
        <vertAlign val="superscript"/>
        <sz val="10"/>
        <rFont val="Comic Sans MS"/>
        <family val="4"/>
      </rPr>
      <t>-1)</t>
    </r>
  </si>
  <si>
    <r>
      <t>N Leached w/o Cover Crop (kg N y</t>
    </r>
    <r>
      <rPr>
        <vertAlign val="superscript"/>
        <sz val="10"/>
        <rFont val="Comic Sans MS"/>
        <family val="4"/>
      </rPr>
      <t>-1</t>
    </r>
    <r>
      <rPr>
        <sz val="10"/>
        <rFont val="Comic Sans MS"/>
        <family val="4"/>
      </rPr>
      <t>)</t>
    </r>
  </si>
  <si>
    <r>
      <t>N Mobilized (kg N y</t>
    </r>
    <r>
      <rPr>
        <vertAlign val="superscript"/>
        <sz val="10"/>
        <rFont val="Comic Sans MS"/>
        <family val="4"/>
      </rPr>
      <t>-1</t>
    </r>
    <r>
      <rPr>
        <sz val="10"/>
        <rFont val="Comic Sans MS"/>
        <family val="4"/>
      </rPr>
      <t>)</t>
    </r>
  </si>
  <si>
    <t xml:space="preserve">Nitrogen Loading Model: </t>
  </si>
  <si>
    <t>Hay</t>
  </si>
  <si>
    <t>Barley</t>
  </si>
  <si>
    <t>Corn (silage)</t>
  </si>
  <si>
    <t>Corn (grain)</t>
  </si>
  <si>
    <t>Sorghum</t>
  </si>
  <si>
    <t>Cotton</t>
  </si>
  <si>
    <t xml:space="preserve"> </t>
  </si>
  <si>
    <t>Tomatoes</t>
  </si>
  <si>
    <t>RESULTS</t>
  </si>
  <si>
    <t>Rehoboth Bay, DE</t>
  </si>
  <si>
    <t>Agricultural Parameters:</t>
  </si>
  <si>
    <t>Turf Parameters:</t>
  </si>
  <si>
    <t>Groundwater Parameters:</t>
  </si>
  <si>
    <t xml:space="preserve">       Natural Vegetation</t>
  </si>
  <si>
    <t xml:space="preserve">       Barren</t>
  </si>
  <si>
    <t xml:space="preserve">       Barley</t>
  </si>
  <si>
    <t xml:space="preserve">       Corn (grain)</t>
  </si>
  <si>
    <t xml:space="preserve">       Corn (silage)</t>
  </si>
  <si>
    <t xml:space="preserve">       Hay</t>
  </si>
  <si>
    <t xml:space="preserve">       Sorghum</t>
  </si>
  <si>
    <t xml:space="preserve">       Soybean</t>
  </si>
  <si>
    <t xml:space="preserve">       Winter Wheat</t>
  </si>
  <si>
    <t xml:space="preserve">       Developed</t>
  </si>
  <si>
    <t xml:space="preserve">       Turf (Lawns)</t>
  </si>
  <si>
    <t xml:space="preserve">      Turf (Lawns)</t>
  </si>
  <si>
    <t xml:space="preserve">       Agricultural fertilizer volatilization</t>
  </si>
  <si>
    <t xml:space="preserve">       Vadose zone transmission</t>
  </si>
  <si>
    <t xml:space="preserve">       Aquifer transmission</t>
  </si>
  <si>
    <t xml:space="preserve">       Septic plume transmission</t>
  </si>
  <si>
    <t xml:space="preserve">       Natural vegetation transmission</t>
  </si>
  <si>
    <t xml:space="preserve">       Turf transmission</t>
  </si>
  <si>
    <t>Atmospheric Deposition:</t>
  </si>
  <si>
    <t>Atmospheric Deposition Parameters:</t>
  </si>
  <si>
    <t>Non-Agricultural Land Cover (hectares):</t>
  </si>
  <si>
    <t>Agricultural Land Cover (hectares):</t>
  </si>
  <si>
    <t xml:space="preserve">       Tomatoes</t>
  </si>
  <si>
    <t xml:space="preserve">       Cotton</t>
  </si>
  <si>
    <t>Miscellaneous:</t>
  </si>
  <si>
    <t xml:space="preserve">       Surface area of the coastal bay (ha)</t>
  </si>
  <si>
    <r>
      <t xml:space="preserve">       Atmospheric Deposition (kg N ha</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</si>
  <si>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t xml:space="preserve">       Poultry (#)</t>
  </si>
  <si>
    <t>Human Parameters:</t>
  </si>
  <si>
    <t>N INPUT TO GROUNDWATER</t>
  </si>
  <si>
    <t>Fertilizer Application:</t>
  </si>
  <si>
    <t xml:space="preserve">       Agricultural Deposition</t>
  </si>
  <si>
    <t xml:space="preserve">       Barren Surface Deposition</t>
  </si>
  <si>
    <t xml:space="preserve">       Developed Surface Deposition </t>
  </si>
  <si>
    <t xml:space="preserve">       Natural Vegetation Deposition</t>
  </si>
  <si>
    <t xml:space="preserve">       Turf Deposition</t>
  </si>
  <si>
    <t>Animal Population:</t>
  </si>
  <si>
    <t xml:space="preserve">       Septic &amp; leach field transmission</t>
  </si>
  <si>
    <t xml:space="preserve">       Roof &amp; driveway plant transmission</t>
  </si>
  <si>
    <t xml:space="preserve">       Agricultural plant transmission</t>
  </si>
  <si>
    <r>
      <t xml:space="preserve">       Human waste (kg N person</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</si>
  <si>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t>Fertilzation Rates</t>
    </r>
    <r>
      <rPr>
        <sz val="10"/>
        <rFont val="Comic Sans MS"/>
        <family val="4"/>
      </rPr>
      <t xml:space="preserve"> (kg N ha</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</si>
  <si>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t>CROP LOOKUP TABLES</t>
  </si>
  <si>
    <r>
      <t xml:space="preserve">       Soybean N  Fixation Rate (kg N ha</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</si>
  <si>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t>Fertilizer Applied (kg N y</t>
    </r>
    <r>
      <rPr>
        <vertAlign val="superscript"/>
        <sz val="10"/>
        <rFont val="Comic Sans MS"/>
        <family val="4"/>
      </rPr>
      <t>-1</t>
    </r>
    <r>
      <rPr>
        <sz val="10"/>
        <rFont val="Comic Sans MS"/>
        <family val="4"/>
      </rPr>
      <t>)</t>
    </r>
  </si>
  <si>
    <r>
      <t>Fertilizer Applied (kg N y</t>
    </r>
    <r>
      <rPr>
        <vertAlign val="superscript"/>
        <sz val="10"/>
        <rFont val="Comic Sans MS"/>
        <family val="4"/>
      </rPr>
      <t>-1</t>
    </r>
    <r>
      <rPr>
        <sz val="10"/>
        <rFont val="Comic Sans MS"/>
        <family val="4"/>
      </rPr>
      <t>)</t>
    </r>
  </si>
  <si>
    <t xml:space="preserve">       Turf Fertilizer Application</t>
  </si>
  <si>
    <t xml:space="preserve">       Agric. Fertilizer Mobilized</t>
  </si>
  <si>
    <r>
      <t>Soybean N Fixation (kg N y</t>
    </r>
    <r>
      <rPr>
        <vertAlign val="superscript"/>
        <sz val="10"/>
        <rFont val="Comic Sans MS"/>
        <family val="4"/>
      </rPr>
      <t>-1</t>
    </r>
    <r>
      <rPr>
        <sz val="10"/>
        <rFont val="Comic Sans MS"/>
        <family val="4"/>
      </rPr>
      <t>)</t>
    </r>
  </si>
  <si>
    <r>
      <t xml:space="preserve">       Point Sources (kg N y</t>
    </r>
    <r>
      <rPr>
        <vertAlign val="superscript"/>
        <sz val="10"/>
        <rFont val="Comic Sans MS"/>
        <family val="4"/>
      </rPr>
      <t>-1</t>
    </r>
    <r>
      <rPr>
        <sz val="10"/>
        <rFont val="Comic Sans MS"/>
        <family val="4"/>
      </rPr>
      <t>)</t>
    </r>
  </si>
  <si>
    <r>
      <t>Point Sources (kg N y</t>
    </r>
    <r>
      <rPr>
        <vertAlign val="superscript"/>
        <sz val="10"/>
        <rFont val="Comic Sans MS"/>
        <family val="4"/>
      </rPr>
      <t>-1</t>
    </r>
    <r>
      <rPr>
        <sz val="10"/>
        <rFont val="Comic Sans MS"/>
        <family val="4"/>
      </rPr>
      <t>)</t>
    </r>
  </si>
  <si>
    <r>
      <t>Direct atm dep onto water surface (kg N y</t>
    </r>
    <r>
      <rPr>
        <vertAlign val="superscript"/>
        <sz val="10"/>
        <rFont val="Comic Sans MS"/>
        <family val="4"/>
      </rPr>
      <t>-1</t>
    </r>
    <r>
      <rPr>
        <sz val="10"/>
        <rFont val="Comic Sans MS"/>
        <family val="4"/>
      </rPr>
      <t>)</t>
    </r>
  </si>
  <si>
    <t>CONTRIBUTION BY SOURCE (%)</t>
  </si>
  <si>
    <t>Atmospheric deposition to watershed</t>
  </si>
  <si>
    <t>Turf fertilization</t>
  </si>
  <si>
    <t>Agriculture</t>
  </si>
  <si>
    <t xml:space="preserve">       Soybeans</t>
  </si>
  <si>
    <t>Excess poutry waste</t>
  </si>
  <si>
    <t>Wastewater</t>
  </si>
  <si>
    <t>Point Sources</t>
  </si>
  <si>
    <t>Atmospheric deposition to bay</t>
  </si>
  <si>
    <t>SUM</t>
  </si>
  <si>
    <r>
      <t>Total N-Loading to Estuary (kg N y</t>
    </r>
    <r>
      <rPr>
        <vertAlign val="superscript"/>
        <sz val="10"/>
        <rFont val="Comic Sans MS"/>
        <family val="4"/>
      </rPr>
      <t>-1</t>
    </r>
    <r>
      <rPr>
        <sz val="10"/>
        <rFont val="Comic Sans MS"/>
        <family val="4"/>
      </rPr>
      <t>):</t>
    </r>
  </si>
  <si>
    <t>Sinepuxent Bay, MD</t>
  </si>
  <si>
    <t>Isle of Wight Bay, MD</t>
  </si>
  <si>
    <t>Turville Creek, MD</t>
  </si>
  <si>
    <t>St. Martin's River, MD</t>
  </si>
  <si>
    <t>Indian River Bay, DE</t>
  </si>
  <si>
    <t>Newport Bay, MD</t>
  </si>
  <si>
    <t>Chincoteague Bay, MD/VA</t>
  </si>
  <si>
    <t>Mosquito Creek, VA</t>
  </si>
  <si>
    <t>Simoneaston Bay, VA</t>
  </si>
  <si>
    <t>Bogues Bay, VA</t>
  </si>
  <si>
    <t>Kegotank Bay, VA</t>
  </si>
  <si>
    <t>Gargathy Bay, VA</t>
  </si>
  <si>
    <t>Metompkin Bay, VA</t>
  </si>
  <si>
    <t>Burton's Bay, VA</t>
  </si>
  <si>
    <t>Bradford Bay, VA</t>
  </si>
  <si>
    <t>Upshur Bay, VA</t>
  </si>
  <si>
    <t>Hog Island Bay, VA</t>
  </si>
  <si>
    <t>Ramshorn Bay, VA</t>
  </si>
  <si>
    <t>Mockhorn Bay, VA</t>
  </si>
  <si>
    <t>Magothy Bay, VA</t>
  </si>
  <si>
    <t>Little Assawoman Bay, DE</t>
  </si>
  <si>
    <t>Assawoman Bay, MD/DE</t>
  </si>
  <si>
    <t>Nitrogen Loading Model</t>
  </si>
  <si>
    <t>no</t>
  </si>
  <si>
    <t>Spray Effluent Input</t>
  </si>
  <si>
    <t>Magothy</t>
  </si>
  <si>
    <t>Mockhorn</t>
  </si>
  <si>
    <t>Ramshorn</t>
  </si>
  <si>
    <t>Hog Island</t>
  </si>
  <si>
    <t>Upshur</t>
  </si>
  <si>
    <t>Bradford</t>
  </si>
  <si>
    <t>Burtons</t>
  </si>
  <si>
    <t>North Burtons</t>
  </si>
  <si>
    <t>Metompkin</t>
  </si>
  <si>
    <t>Gargathy</t>
  </si>
  <si>
    <t>Kegotank</t>
  </si>
  <si>
    <t>Oyster-Womans</t>
  </si>
  <si>
    <t>Bogues</t>
  </si>
  <si>
    <t>Simoneaston</t>
  </si>
  <si>
    <t>Chincoteague</t>
  </si>
  <si>
    <t>Newport</t>
  </si>
  <si>
    <t>Sinepuxent</t>
  </si>
  <si>
    <t>Isle of Wight</t>
  </si>
  <si>
    <t>Turville</t>
  </si>
  <si>
    <t>St. Martins</t>
  </si>
  <si>
    <t>Assawoman</t>
  </si>
  <si>
    <t>Little Assawoman</t>
  </si>
  <si>
    <t>Indian River</t>
  </si>
  <si>
    <t>Rehoboth</t>
  </si>
  <si>
    <r>
      <t>NLM load,          mmol m</t>
    </r>
    <r>
      <rPr>
        <vertAlign val="superscript"/>
        <sz val="10"/>
        <rFont val="Comic Sans MS"/>
        <family val="4"/>
      </rPr>
      <t>-2</t>
    </r>
    <r>
      <rPr>
        <sz val="10"/>
        <rFont val="Comic Sans MS"/>
        <family val="4"/>
      </rPr>
      <t xml:space="preserve"> d</t>
    </r>
    <r>
      <rPr>
        <vertAlign val="superscript"/>
        <sz val="10"/>
        <rFont val="Comic Sans MS"/>
        <family val="4"/>
      </rPr>
      <t>-1</t>
    </r>
  </si>
  <si>
    <r>
      <t>NLM load,          g m</t>
    </r>
    <r>
      <rPr>
        <vertAlign val="superscript"/>
        <sz val="10"/>
        <rFont val="Comic Sans MS"/>
        <family val="4"/>
      </rPr>
      <t>-2</t>
    </r>
    <r>
      <rPr>
        <sz val="10"/>
        <rFont val="Comic Sans MS"/>
        <family val="4"/>
      </rPr>
      <t xml:space="preserve"> y</t>
    </r>
    <r>
      <rPr>
        <vertAlign val="superscript"/>
        <sz val="10"/>
        <rFont val="Comic Sans MS"/>
        <family val="4"/>
      </rPr>
      <t>-1</t>
    </r>
  </si>
  <si>
    <r>
      <t>NLM export, kg N ha</t>
    </r>
    <r>
      <rPr>
        <vertAlign val="superscript"/>
        <sz val="10"/>
        <rFont val="Comic Sans MS"/>
        <family val="4"/>
      </rPr>
      <t>-1</t>
    </r>
    <r>
      <rPr>
        <sz val="10"/>
        <rFont val="Comic Sans MS"/>
        <family val="4"/>
      </rPr>
      <t xml:space="preserve"> y</t>
    </r>
    <r>
      <rPr>
        <vertAlign val="superscript"/>
        <sz val="10"/>
        <rFont val="Comic Sans MS"/>
        <family val="4"/>
      </rPr>
      <t>-1</t>
    </r>
  </si>
  <si>
    <t>WS:Bay Area</t>
  </si>
  <si>
    <t>Sum of LULC hectares</t>
  </si>
  <si>
    <t>Mosquito</t>
  </si>
  <si>
    <t>Shapefile WS Area, ha</t>
  </si>
  <si>
    <t>Oyster-Womans Bay, VA</t>
  </si>
  <si>
    <t>North Burton's Watershed, VA</t>
  </si>
  <si>
    <r>
      <t>NLM Load,        kg N y</t>
    </r>
    <r>
      <rPr>
        <vertAlign val="superscript"/>
        <sz val="10"/>
        <rFont val="Comic Sans MS"/>
        <family val="4"/>
      </rPr>
      <t>-1</t>
    </r>
  </si>
  <si>
    <r>
      <t>Bay Area, m</t>
    </r>
    <r>
      <rPr>
        <vertAlign val="superscript"/>
        <sz val="10"/>
        <rFont val="Comic Sans MS"/>
        <family val="4"/>
      </rPr>
      <t>2</t>
    </r>
  </si>
  <si>
    <t xml:space="preserve">      Spray effluent volatilization</t>
  </si>
  <si>
    <t xml:space="preserve">       Spray effluent application area (ha)</t>
  </si>
  <si>
    <r>
      <t xml:space="preserve">       Spray effluent deposition (kg N ha</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</si>
  <si>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t>Is excess poultry waste exported to another watershed?</t>
  </si>
  <si>
    <r>
      <t>Wastewater Input (kg N y</t>
    </r>
    <r>
      <rPr>
        <vertAlign val="superscript"/>
        <sz val="10"/>
        <rFont val="Comic Sans MS"/>
        <family val="4"/>
      </rPr>
      <t>-1</t>
    </r>
    <r>
      <rPr>
        <sz val="10"/>
        <rFont val="Comic Sans MS"/>
        <family val="4"/>
      </rPr>
      <t xml:space="preserve">) </t>
    </r>
    <r>
      <rPr>
        <sz val="10"/>
        <rFont val="Symbol"/>
        <family val="1"/>
        <charset val="2"/>
      </rPr>
      <t>-</t>
    </r>
    <r>
      <rPr>
        <sz val="10"/>
        <rFont val="Comic Sans MS"/>
        <family val="4"/>
      </rPr>
      <t xml:space="preserve"> </t>
    </r>
    <r>
      <rPr>
        <i/>
        <sz val="10"/>
        <rFont val="comic sans ms"/>
        <family val="4"/>
      </rPr>
      <t>septic &amp; spray</t>
    </r>
  </si>
  <si>
    <t>Septic wastewater</t>
  </si>
  <si>
    <t>Spray effluent wastewater</t>
  </si>
  <si>
    <t>Point sources</t>
  </si>
  <si>
    <t xml:space="preserve">       Winter wheat</t>
  </si>
  <si>
    <t xml:space="preserve">       Population on Septic (#)</t>
  </si>
  <si>
    <r>
      <t>Spray Effluent (kg N y</t>
    </r>
    <r>
      <rPr>
        <vertAlign val="superscript"/>
        <sz val="10"/>
        <rFont val="Comic Sans MS"/>
        <family val="4"/>
      </rPr>
      <t>-1</t>
    </r>
    <r>
      <rPr>
        <sz val="10"/>
        <rFont val="Comic Sans MS"/>
        <family val="4"/>
      </rPr>
      <t>)</t>
    </r>
  </si>
  <si>
    <t>Fraction of impervious surfaces draining directly to tidal waters</t>
  </si>
  <si>
    <t>Delmarva Coastal Bays NLM (Nitrogen Loading Model)</t>
  </si>
  <si>
    <t>Thank you for your interest in the Delmarva Coastal Bays NLM.  The next worksheet contains a blank version of the NLM</t>
  </si>
  <si>
    <t>The remaining pages contain a version of the NLM for each coastal bay watershed along the Delmarva Peninsula, already</t>
  </si>
  <si>
    <t>values were estimated.</t>
  </si>
  <si>
    <t>The final page of this workbook summarizes predicted loads for each Delmarva coastal bay watershed.</t>
  </si>
  <si>
    <t>Proper citation for this model is:</t>
  </si>
  <si>
    <t>parameterized with best estimates for each term.  See the accompanying documentation file for a description of how these</t>
  </si>
  <si>
    <t>Converted units</t>
  </si>
  <si>
    <t>ha</t>
  </si>
  <si>
    <r>
      <t>kg N ha</t>
    </r>
    <r>
      <rPr>
        <vertAlign val="superscript"/>
        <sz val="10"/>
        <rFont val="Comic Sans MS"/>
        <family val="4"/>
      </rPr>
      <t>-1</t>
    </r>
    <r>
      <rPr>
        <sz val="10"/>
        <rFont val="Comic Sans MS"/>
        <family val="4"/>
      </rPr>
      <t xml:space="preserve"> y</t>
    </r>
    <r>
      <rPr>
        <vertAlign val="superscript"/>
        <sz val="10"/>
        <rFont val="Comic Sans MS"/>
        <family val="4"/>
      </rPr>
      <t>-1</t>
    </r>
  </si>
  <si>
    <t>#</t>
  </si>
  <si>
    <r>
      <t xml:space="preserve">kg N </t>
    </r>
    <r>
      <rPr>
        <sz val="10"/>
        <rFont val="Comic Sans MS"/>
        <family val="4"/>
      </rPr>
      <t>y</t>
    </r>
    <r>
      <rPr>
        <vertAlign val="superscript"/>
        <sz val="10"/>
        <rFont val="Comic Sans MS"/>
        <family val="4"/>
      </rPr>
      <t>-1</t>
    </r>
  </si>
  <si>
    <t xml:space="preserve">       Spray effluent application area (ac)</t>
  </si>
  <si>
    <t xml:space="preserve">       Surface area of the coastal bay (ac)</t>
  </si>
  <si>
    <t>Non-Agricultural Land Cover (acres):</t>
  </si>
  <si>
    <t>Agricultural Land Cover (acres):</t>
  </si>
  <si>
    <r>
      <t xml:space="preserve">       Atmospheric Deposition (lbs N ac</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</si>
  <si>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t xml:space="preserve">       Point Sources (lbs N y</t>
    </r>
    <r>
      <rPr>
        <vertAlign val="superscript"/>
        <sz val="10"/>
        <rFont val="Comic Sans MS"/>
        <family val="4"/>
      </rPr>
      <t>-1</t>
    </r>
    <r>
      <rPr>
        <sz val="10"/>
        <rFont val="Comic Sans MS"/>
        <family val="4"/>
      </rPr>
      <t>)</t>
    </r>
  </si>
  <si>
    <r>
      <t xml:space="preserve">       Spray effluent deposition (lbs N ac</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</si>
  <si>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t>Fertilzation Rates</t>
    </r>
    <r>
      <rPr>
        <sz val="10"/>
        <rFont val="Comic Sans MS"/>
        <family val="4"/>
      </rPr>
      <t xml:space="preserve"> (lbs N ac</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</si>
  <si>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rPr>
        <i/>
        <u/>
        <sz val="12"/>
        <rFont val="Comic Sans MS"/>
        <family val="4"/>
      </rPr>
      <t>Instructions</t>
    </r>
    <r>
      <rPr>
        <i/>
        <sz val="12"/>
        <rFont val="Comic Sans MS"/>
        <family val="4"/>
      </rPr>
      <t xml:space="preserve">:  Enter values </t>
    </r>
    <r>
      <rPr>
        <i/>
        <sz val="12"/>
        <color rgb="FFFF0000"/>
        <rFont val="Comic Sans MS"/>
        <family val="4"/>
      </rPr>
      <t xml:space="preserve">in metric units </t>
    </r>
    <r>
      <rPr>
        <i/>
        <sz val="12"/>
        <rFont val="Comic Sans MS"/>
        <family val="4"/>
      </rPr>
      <t>for all terms in Column C for a watershed of interest.  The comments provide a description of each term.  Predicted watershed loads are displayed in Cell N17 (highlighted in yellow) and broken down by source in Column O.</t>
    </r>
  </si>
  <si>
    <r>
      <rPr>
        <i/>
        <u/>
        <sz val="12"/>
        <rFont val="Comic Sans MS"/>
        <family val="4"/>
      </rPr>
      <t>Instructions</t>
    </r>
    <r>
      <rPr>
        <i/>
        <sz val="12"/>
        <rFont val="Comic Sans MS"/>
        <family val="4"/>
      </rPr>
      <t xml:space="preserve">:  Enter values </t>
    </r>
    <r>
      <rPr>
        <i/>
        <sz val="12"/>
        <color rgb="FFFF0000"/>
        <rFont val="Comic Sans MS"/>
        <family val="4"/>
      </rPr>
      <t xml:space="preserve">in English units </t>
    </r>
    <r>
      <rPr>
        <i/>
        <sz val="12"/>
        <rFont val="Comic Sans MS"/>
        <family val="4"/>
      </rPr>
      <t>for all terms in Column C for a watershed of interest.  The comments provide a description of each term.  Values are converted into metric units in Column E.  Predicted watershed loads are displayed in Cell P17 (highlighted in yellow) and broken down by source in Column Q.</t>
    </r>
  </si>
  <si>
    <t xml:space="preserve">in which the user may enter their own input values for any watershed of interest in metric units.  Comments provide background </t>
  </si>
  <si>
    <t xml:space="preserve">information on each term to enter.  Results are displayed on the right hand side of the spreadsheet.  The third worksheet is </t>
  </si>
  <si>
    <t>identical, except that values are entered in English units.</t>
  </si>
  <si>
    <t>Distributed August 2015</t>
  </si>
  <si>
    <t>INPUT DATA</t>
  </si>
  <si>
    <r>
      <t xml:space="preserve">Agricultural Yield </t>
    </r>
    <r>
      <rPr>
        <sz val="10"/>
        <rFont val="Comic Sans MS"/>
        <family val="4"/>
      </rPr>
      <t>(kg crop ha</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</si>
  <si>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t>kg ha</t>
    </r>
    <r>
      <rPr>
        <vertAlign val="superscript"/>
        <sz val="10"/>
        <rFont val="Comic Sans MS"/>
        <family val="4"/>
      </rPr>
      <t>-1</t>
    </r>
    <r>
      <rPr>
        <sz val="10"/>
        <rFont val="Comic Sans MS"/>
        <family val="4"/>
      </rPr>
      <t xml:space="preserve"> y</t>
    </r>
    <r>
      <rPr>
        <vertAlign val="superscript"/>
        <sz val="10"/>
        <rFont val="Comic Sans MS"/>
        <family val="4"/>
      </rPr>
      <t>-1</t>
    </r>
  </si>
  <si>
    <r>
      <t xml:space="preserve">Agricultural Yield </t>
    </r>
    <r>
      <rPr>
        <sz val="10"/>
        <rFont val="Comic Sans MS"/>
        <family val="4"/>
      </rPr>
      <t>(lbs crop ac</t>
    </r>
    <r>
      <rPr>
        <vertAlign val="superscript"/>
        <sz val="10"/>
        <rFont val="Comic Sans MS"/>
        <family val="4"/>
      </rPr>
      <t>-1</t>
    </r>
    <r>
      <rPr>
        <sz val="10"/>
        <rFont val="Comic Sans MS"/>
        <family val="4"/>
      </rPr>
      <t xml:space="preserve"> y</t>
    </r>
    <r>
      <rPr>
        <vertAlign val="superscript"/>
        <sz val="10"/>
        <rFont val="Comic Sans MS"/>
        <family val="4"/>
      </rPr>
      <t>-1</t>
    </r>
    <r>
      <rPr>
        <sz val="10"/>
        <rFont val="Comic Sans MS"/>
        <family val="4"/>
      </rPr>
      <t>):</t>
    </r>
  </si>
  <si>
    <r>
      <t xml:space="preserve">       Barley N content (kg N kg</t>
    </r>
    <r>
      <rPr>
        <vertAlign val="superscript"/>
        <sz val="10"/>
        <rFont val="Comic Sans MS"/>
        <family val="4"/>
      </rPr>
      <t>-1</t>
    </r>
    <r>
      <rPr>
        <sz val="10"/>
        <rFont val="Comic Sans MS"/>
        <family val="4"/>
      </rPr>
      <t xml:space="preserve"> crop)</t>
    </r>
  </si>
  <si>
    <r>
      <t xml:space="preserve">       Corn (grain) N content (kg N kg</t>
    </r>
    <r>
      <rPr>
        <vertAlign val="superscript"/>
        <sz val="10"/>
        <rFont val="Comic Sans MS"/>
        <family val="4"/>
      </rPr>
      <t>-1</t>
    </r>
    <r>
      <rPr>
        <sz val="10"/>
        <rFont val="Comic Sans MS"/>
        <family val="4"/>
      </rPr>
      <t xml:space="preserve"> crop)</t>
    </r>
  </si>
  <si>
    <r>
      <t xml:space="preserve">       Corn (silage) N content (kg N kg</t>
    </r>
    <r>
      <rPr>
        <vertAlign val="superscript"/>
        <sz val="10"/>
        <rFont val="Comic Sans MS"/>
        <family val="4"/>
      </rPr>
      <t>-1</t>
    </r>
    <r>
      <rPr>
        <sz val="10"/>
        <rFont val="Comic Sans MS"/>
        <family val="4"/>
      </rPr>
      <t xml:space="preserve"> crop)</t>
    </r>
  </si>
  <si>
    <r>
      <t xml:space="preserve">       Cotton N content (kg N kg</t>
    </r>
    <r>
      <rPr>
        <vertAlign val="superscript"/>
        <sz val="10"/>
        <rFont val="Comic Sans MS"/>
        <family val="4"/>
      </rPr>
      <t>-1</t>
    </r>
    <r>
      <rPr>
        <sz val="10"/>
        <rFont val="Comic Sans MS"/>
        <family val="4"/>
      </rPr>
      <t xml:space="preserve"> crop)</t>
    </r>
  </si>
  <si>
    <r>
      <t xml:space="preserve">       Hay N content (kg N kg</t>
    </r>
    <r>
      <rPr>
        <vertAlign val="superscript"/>
        <sz val="10"/>
        <rFont val="Comic Sans MS"/>
        <family val="4"/>
      </rPr>
      <t>-1</t>
    </r>
    <r>
      <rPr>
        <sz val="10"/>
        <rFont val="Comic Sans MS"/>
        <family val="4"/>
      </rPr>
      <t xml:space="preserve"> crop)</t>
    </r>
  </si>
  <si>
    <r>
      <t xml:space="preserve">       Sorghum N content (kg N kg</t>
    </r>
    <r>
      <rPr>
        <vertAlign val="superscript"/>
        <sz val="10"/>
        <rFont val="Comic Sans MS"/>
        <family val="4"/>
      </rPr>
      <t>-1</t>
    </r>
    <r>
      <rPr>
        <sz val="10"/>
        <rFont val="Comic Sans MS"/>
        <family val="4"/>
      </rPr>
      <t xml:space="preserve"> crop)</t>
    </r>
  </si>
  <si>
    <r>
      <t xml:space="preserve">       Soybean N content (kg N kg</t>
    </r>
    <r>
      <rPr>
        <vertAlign val="superscript"/>
        <sz val="10"/>
        <rFont val="Comic Sans MS"/>
        <family val="4"/>
      </rPr>
      <t>-1</t>
    </r>
    <r>
      <rPr>
        <sz val="10"/>
        <rFont val="Comic Sans MS"/>
        <family val="4"/>
      </rPr>
      <t xml:space="preserve"> crop)</t>
    </r>
  </si>
  <si>
    <r>
      <t xml:space="preserve">       Tomato N content (kg N kg</t>
    </r>
    <r>
      <rPr>
        <vertAlign val="superscript"/>
        <sz val="10"/>
        <rFont val="Comic Sans MS"/>
        <family val="4"/>
      </rPr>
      <t>-1</t>
    </r>
    <r>
      <rPr>
        <sz val="10"/>
        <rFont val="Comic Sans MS"/>
        <family val="4"/>
      </rPr>
      <t xml:space="preserve"> crop)</t>
    </r>
  </si>
  <si>
    <r>
      <t xml:space="preserve">       Wheat N content (kg N kg</t>
    </r>
    <r>
      <rPr>
        <vertAlign val="superscript"/>
        <sz val="10"/>
        <rFont val="Comic Sans MS"/>
        <family val="4"/>
      </rPr>
      <t>-1</t>
    </r>
    <r>
      <rPr>
        <sz val="10"/>
        <rFont val="Comic Sans MS"/>
      </rPr>
      <t xml:space="preserve"> crop)</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</si>
</sst>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00"/>
    <numFmt numFmtId="166" formatCode="0.0000"/>
    <numFmt numFmtId="167" formatCode="0.0"/>
  </numFmts>
  <fonts count="21" x14ac:knownFonts="1">
    <font>
      <sz val="10"/>
      <name val="Comic Sans MS"/>
    </font>
    <font>
      <sz val="11"/>
      <color theme="1"/>
      <name val="Calibri"/>
      <family val="2"/>
      <scheme val="minor"/>
    </font>
    <font>
      <sz val="8"/>
      <name val="Comic Sans MS"/>
      <family val="4"/>
    </font>
    <font>
      <b/>
      <sz val="10"/>
      <color indexed="12"/>
      <name val="Comic Sans MS"/>
      <family val="4"/>
    </font>
    <font>
      <vertAlign val="superscript"/>
      <sz val="10"/>
      <name val="Comic Sans MS"/>
      <family val="4"/>
    </font>
    <font>
      <i/>
      <sz val="10"/>
      <name val="comic sans ms"/>
      <family val="4"/>
    </font>
    <font>
      <b/>
      <sz val="10"/>
      <name val="Comic Sans MS"/>
      <family val="4"/>
    </font>
    <font>
      <sz val="10"/>
      <color indexed="8"/>
      <name val="comic sans ms"/>
      <family val="4"/>
    </font>
    <font>
      <sz val="10"/>
      <name val="Comic Sans MS"/>
      <family val="4"/>
    </font>
    <font>
      <b/>
      <sz val="14"/>
      <name val="comic sans ms"/>
      <family val="4"/>
    </font>
    <font>
      <sz val="9.5"/>
      <name val="Comic Sans MS"/>
      <family val="4"/>
    </font>
    <font>
      <sz val="14"/>
      <name val="Comic Sans MS"/>
      <family val="4"/>
    </font>
    <font>
      <sz val="10"/>
      <color theme="1"/>
      <name val="Comic Sans MS"/>
      <family val="4"/>
    </font>
    <font>
      <sz val="10"/>
      <name val="Arial"/>
      <family val="2"/>
    </font>
    <font>
      <sz val="9"/>
      <color indexed="81"/>
      <name val="Tahoma"/>
      <family val="2"/>
    </font>
    <font>
      <b/>
      <sz val="9"/>
      <color indexed="81"/>
      <name val="Tahoma"/>
      <family val="2"/>
    </font>
    <font>
      <i/>
      <sz val="12"/>
      <name val="Comic Sans MS"/>
      <family val="4"/>
    </font>
    <font>
      <sz val="10"/>
      <name val="Symbol"/>
      <family val="1"/>
      <charset val="2"/>
    </font>
    <font>
      <i/>
      <u/>
      <sz val="12"/>
      <name val="Comic Sans MS"/>
      <family val="4"/>
    </font>
    <font>
      <u/>
      <sz val="10"/>
      <color theme="10"/>
      <name val="Comic Sans MS"/>
      <family val="4"/>
    </font>
    <font>
      <i/>
      <sz val="12"/>
      <color rgb="FFFF0000"/>
      <name val="Comic Sans MS"/>
      <family val="4"/>
    </font>
  </fonts>
  <fills count="5">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theme="0" tint="-0.249977111117893"/>
        <bgColor indexed="64"/>
      </patternFill>
    </fill>
  </fills>
  <borders count="14">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top style="double">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s>
  <cellStyleXfs count="5">
    <xf numFmtId="0" fontId="0" fillId="0" borderId="0"/>
    <xf numFmtId="0" fontId="1" fillId="0" borderId="0"/>
    <xf numFmtId="0" fontId="13" fillId="0" borderId="0"/>
    <xf numFmtId="0" fontId="8" fillId="0" borderId="0"/>
    <xf numFmtId="0" fontId="19" fillId="0" borderId="0" applyNumberFormat="0" applyFill="0" applyBorder="0" applyAlignment="0" applyProtection="0"/>
  </cellStyleXfs>
  <cellXfs count="117">
    <xf numFmtId="0" fontId="0" fillId="0" borderId="0" xfId="0"/>
    <xf numFmtId="3" fontId="0" fillId="0" borderId="0" xfId="0" applyNumberFormat="1"/>
    <xf numFmtId="3" fontId="0" fillId="0" borderId="1" xfId="0" applyNumberFormat="1" applyBorder="1"/>
    <xf numFmtId="3" fontId="0" fillId="0" borderId="2" xfId="0" applyNumberFormat="1" applyBorder="1"/>
    <xf numFmtId="3" fontId="5" fillId="2" borderId="3" xfId="0" applyNumberFormat="1" applyFont="1" applyFill="1" applyBorder="1"/>
    <xf numFmtId="3" fontId="0" fillId="2" borderId="4" xfId="0" applyNumberFormat="1" applyFill="1" applyBorder="1"/>
    <xf numFmtId="3" fontId="0" fillId="0" borderId="5" xfId="0" applyNumberFormat="1" applyBorder="1"/>
    <xf numFmtId="3" fontId="0" fillId="0" borderId="6" xfId="0" applyNumberFormat="1" applyFill="1" applyBorder="1"/>
    <xf numFmtId="4" fontId="0" fillId="0" borderId="2" xfId="0" applyNumberFormat="1" applyBorder="1"/>
    <xf numFmtId="164" fontId="0" fillId="0" borderId="2" xfId="0" applyNumberFormat="1" applyBorder="1"/>
    <xf numFmtId="4" fontId="0" fillId="0" borderId="6" xfId="0" applyNumberFormat="1" applyBorder="1"/>
    <xf numFmtId="3" fontId="0" fillId="0" borderId="6" xfId="0" applyNumberFormat="1" applyBorder="1"/>
    <xf numFmtId="165" fontId="0" fillId="0" borderId="2" xfId="0" applyNumberFormat="1" applyBorder="1"/>
    <xf numFmtId="3" fontId="0" fillId="0" borderId="0" xfId="0" applyNumberFormat="1" applyFill="1" applyAlignment="1">
      <alignment horizontal="center"/>
    </xf>
    <xf numFmtId="3" fontId="0" fillId="0" borderId="0" xfId="0" applyNumberFormat="1" applyFill="1" applyAlignment="1"/>
    <xf numFmtId="4" fontId="0" fillId="2" borderId="4" xfId="0" applyNumberFormat="1" applyFill="1" applyBorder="1"/>
    <xf numFmtId="3" fontId="0" fillId="2" borderId="0" xfId="0" applyNumberFormat="1" applyFill="1"/>
    <xf numFmtId="3" fontId="0" fillId="0" borderId="0" xfId="0" applyNumberFormat="1" applyBorder="1"/>
    <xf numFmtId="3" fontId="0" fillId="0" borderId="0" xfId="0" applyNumberFormat="1" applyFill="1"/>
    <xf numFmtId="3" fontId="0" fillId="0" borderId="1" xfId="0" applyNumberFormat="1" applyBorder="1" applyAlignment="1"/>
    <xf numFmtId="0" fontId="8" fillId="0" borderId="0" xfId="0" applyFont="1" applyFill="1" applyBorder="1"/>
    <xf numFmtId="3" fontId="0" fillId="0" borderId="5" xfId="0" applyNumberFormat="1" applyBorder="1" applyAlignment="1"/>
    <xf numFmtId="3" fontId="0" fillId="0" borderId="0" xfId="0" applyNumberFormat="1" applyFill="1" applyBorder="1"/>
    <xf numFmtId="3" fontId="8" fillId="0" borderId="0" xfId="0" applyNumberFormat="1" applyFont="1" applyFill="1" applyBorder="1" applyAlignment="1">
      <alignment horizontal="center"/>
    </xf>
    <xf numFmtId="3" fontId="10" fillId="0" borderId="0" xfId="0" applyNumberFormat="1" applyFont="1" applyFill="1" applyBorder="1"/>
    <xf numFmtId="164" fontId="0" fillId="0" borderId="0" xfId="0" applyNumberFormat="1" applyFill="1" applyBorder="1"/>
    <xf numFmtId="0" fontId="0" fillId="0" borderId="0" xfId="0" applyFill="1" applyBorder="1"/>
    <xf numFmtId="3" fontId="0" fillId="0" borderId="0" xfId="0" applyNumberFormat="1" applyFill="1" applyBorder="1" applyAlignment="1"/>
    <xf numFmtId="0" fontId="0" fillId="0" borderId="0" xfId="0" applyFill="1" applyBorder="1" applyAlignment="1"/>
    <xf numFmtId="3" fontId="0" fillId="0" borderId="0" xfId="0" applyNumberFormat="1" applyFill="1" applyBorder="1" applyAlignment="1">
      <alignment horizontal="center"/>
    </xf>
    <xf numFmtId="3" fontId="0" fillId="0" borderId="0" xfId="0" applyNumberFormat="1" applyBorder="1" applyAlignment="1"/>
    <xf numFmtId="3" fontId="8" fillId="0" borderId="0" xfId="0" applyNumberFormat="1" applyFont="1" applyFill="1" applyBorder="1"/>
    <xf numFmtId="3" fontId="8" fillId="0" borderId="0" xfId="0" applyNumberFormat="1" applyFont="1"/>
    <xf numFmtId="0" fontId="0" fillId="0" borderId="0" xfId="0" applyFill="1" applyBorder="1" applyAlignment="1">
      <alignment horizontal="center"/>
    </xf>
    <xf numFmtId="10" fontId="8" fillId="0" borderId="0" xfId="0" applyNumberFormat="1" applyFont="1" applyFill="1" applyBorder="1"/>
    <xf numFmtId="3" fontId="7" fillId="0" borderId="0" xfId="0" applyNumberFormat="1" applyFont="1" applyFill="1" applyBorder="1" applyAlignment="1"/>
    <xf numFmtId="3" fontId="0" fillId="0" borderId="2" xfId="0" applyNumberFormat="1" applyFill="1" applyBorder="1"/>
    <xf numFmtId="3" fontId="9" fillId="0" borderId="0" xfId="0" applyNumberFormat="1" applyFont="1"/>
    <xf numFmtId="3" fontId="11" fillId="0" borderId="0" xfId="0" applyNumberFormat="1" applyFont="1"/>
    <xf numFmtId="3" fontId="8" fillId="0" borderId="5" xfId="0" applyNumberFormat="1" applyFont="1" applyBorder="1"/>
    <xf numFmtId="3" fontId="8" fillId="0" borderId="1" xfId="0" applyNumberFormat="1" applyFont="1" applyBorder="1"/>
    <xf numFmtId="164" fontId="0" fillId="0" borderId="6" xfId="0" applyNumberFormat="1" applyBorder="1"/>
    <xf numFmtId="3" fontId="8" fillId="0" borderId="1" xfId="0" applyNumberFormat="1" applyFont="1" applyFill="1" applyBorder="1"/>
    <xf numFmtId="3" fontId="8" fillId="0" borderId="5" xfId="0" applyNumberFormat="1" applyFont="1" applyFill="1" applyBorder="1"/>
    <xf numFmtId="3" fontId="8" fillId="0" borderId="1" xfId="0" applyNumberFormat="1" applyFont="1" applyBorder="1" applyAlignment="1">
      <alignment horizontal="left"/>
    </xf>
    <xf numFmtId="3" fontId="8" fillId="0" borderId="1" xfId="0" applyNumberFormat="1" applyFont="1" applyBorder="1" applyAlignment="1"/>
    <xf numFmtId="3" fontId="3" fillId="0" borderId="0" xfId="0" applyNumberFormat="1" applyFont="1" applyBorder="1" applyAlignment="1"/>
    <xf numFmtId="3" fontId="8" fillId="2" borderId="0" xfId="0" applyNumberFormat="1" applyFont="1" applyFill="1"/>
    <xf numFmtId="4" fontId="8" fillId="0" borderId="2" xfId="0" applyNumberFormat="1" applyFont="1" applyBorder="1" applyAlignment="1"/>
    <xf numFmtId="4" fontId="8" fillId="0" borderId="2" xfId="0" applyNumberFormat="1" applyFont="1" applyBorder="1" applyAlignment="1">
      <alignment horizontal="right"/>
    </xf>
    <xf numFmtId="3" fontId="6" fillId="0" borderId="5" xfId="0" applyNumberFormat="1" applyFont="1" applyBorder="1" applyAlignment="1">
      <alignment horizontal="right"/>
    </xf>
    <xf numFmtId="4" fontId="6" fillId="0" borderId="6" xfId="0" applyNumberFormat="1" applyFont="1" applyBorder="1"/>
    <xf numFmtId="3" fontId="0" fillId="0" borderId="2" xfId="0" applyNumberFormat="1" applyBorder="1" applyAlignment="1">
      <alignment horizontal="right"/>
    </xf>
    <xf numFmtId="0" fontId="0" fillId="0" borderId="0" xfId="0" applyFill="1" applyBorder="1" applyAlignment="1">
      <alignment horizontal="right"/>
    </xf>
    <xf numFmtId="0" fontId="0" fillId="0" borderId="0" xfId="0" applyBorder="1" applyAlignment="1">
      <alignment horizontal="right"/>
    </xf>
    <xf numFmtId="3" fontId="0" fillId="0" borderId="6" xfId="0" applyNumberFormat="1" applyBorder="1" applyAlignment="1">
      <alignment horizontal="right"/>
    </xf>
    <xf numFmtId="3" fontId="0" fillId="0" borderId="2" xfId="0" applyNumberFormat="1" applyFill="1" applyBorder="1" applyAlignment="1">
      <alignment horizontal="right"/>
    </xf>
    <xf numFmtId="3" fontId="0" fillId="0" borderId="6" xfId="0" applyNumberFormat="1" applyFill="1" applyBorder="1" applyAlignment="1">
      <alignment horizontal="right"/>
    </xf>
    <xf numFmtId="167" fontId="0" fillId="0" borderId="2" xfId="0" applyNumberFormat="1" applyBorder="1" applyAlignment="1">
      <alignment horizontal="right"/>
    </xf>
    <xf numFmtId="3" fontId="0" fillId="0" borderId="0" xfId="0" applyNumberFormat="1" applyFill="1" applyBorder="1" applyAlignment="1">
      <alignment horizontal="center"/>
    </xf>
    <xf numFmtId="3" fontId="12" fillId="0" borderId="2" xfId="1" applyNumberFormat="1" applyFont="1" applyBorder="1" applyAlignment="1">
      <alignment horizontal="right"/>
    </xf>
    <xf numFmtId="164" fontId="12" fillId="0" borderId="2" xfId="1" applyNumberFormat="1" applyFont="1" applyBorder="1" applyAlignment="1">
      <alignment horizontal="right"/>
    </xf>
    <xf numFmtId="0" fontId="8" fillId="0" borderId="0" xfId="3"/>
    <xf numFmtId="0" fontId="8" fillId="0" borderId="0" xfId="3" applyFont="1" applyFill="1" applyBorder="1" applyAlignment="1">
      <alignment horizontal="center"/>
    </xf>
    <xf numFmtId="0" fontId="8" fillId="0" borderId="0" xfId="3" applyFont="1" applyBorder="1" applyAlignment="1">
      <alignment horizontal="center"/>
    </xf>
    <xf numFmtId="0" fontId="8" fillId="0" borderId="0" xfId="3" applyFont="1" applyAlignment="1">
      <alignment horizontal="center"/>
    </xf>
    <xf numFmtId="0" fontId="8" fillId="0" borderId="0" xfId="3" applyAlignment="1">
      <alignment horizontal="center"/>
    </xf>
    <xf numFmtId="167" fontId="8" fillId="0" borderId="0" xfId="3" applyNumberFormat="1" applyAlignment="1">
      <alignment horizontal="center"/>
    </xf>
    <xf numFmtId="2" fontId="8" fillId="0" borderId="0" xfId="3" applyNumberFormat="1" applyAlignment="1">
      <alignment horizontal="center"/>
    </xf>
    <xf numFmtId="164" fontId="8" fillId="0" borderId="0" xfId="3" applyNumberFormat="1" applyFont="1" applyFill="1" applyBorder="1" applyAlignment="1">
      <alignment horizontal="center"/>
    </xf>
    <xf numFmtId="3" fontId="8" fillId="0" borderId="0" xfId="3" applyNumberFormat="1" applyFont="1" applyFill="1" applyBorder="1" applyAlignment="1">
      <alignment horizontal="center"/>
    </xf>
    <xf numFmtId="3" fontId="8" fillId="0" borderId="0" xfId="3" applyNumberFormat="1" applyAlignment="1">
      <alignment horizontal="center"/>
    </xf>
    <xf numFmtId="3" fontId="8" fillId="0" borderId="0" xfId="3" quotePrefix="1" applyNumberFormat="1" applyFont="1" applyFill="1" applyBorder="1" applyAlignment="1">
      <alignment horizontal="center"/>
    </xf>
    <xf numFmtId="0" fontId="8" fillId="0" borderId="0" xfId="3" applyFont="1" applyAlignment="1">
      <alignment horizontal="center" wrapText="1"/>
    </xf>
    <xf numFmtId="3" fontId="0" fillId="0" borderId="0" xfId="0" applyNumberFormat="1" applyAlignment="1">
      <alignment horizontal="center"/>
    </xf>
    <xf numFmtId="0" fontId="8" fillId="0" borderId="1" xfId="0" applyNumberFormat="1" applyFont="1" applyFill="1" applyBorder="1" applyAlignment="1">
      <alignment horizontal="left"/>
    </xf>
    <xf numFmtId="3" fontId="8" fillId="0" borderId="10" xfId="0" applyNumberFormat="1" applyFont="1" applyBorder="1" applyAlignment="1">
      <alignment horizontal="center"/>
    </xf>
    <xf numFmtId="3" fontId="8" fillId="0" borderId="9" xfId="0" applyNumberFormat="1" applyFont="1" applyFill="1" applyBorder="1" applyAlignment="1">
      <alignment wrapText="1"/>
    </xf>
    <xf numFmtId="4" fontId="0" fillId="0" borderId="2" xfId="0" applyNumberFormat="1" applyBorder="1" applyAlignment="1">
      <alignment horizontal="right"/>
    </xf>
    <xf numFmtId="4" fontId="6" fillId="0" borderId="6" xfId="0" applyNumberFormat="1" applyFont="1" applyBorder="1" applyAlignment="1">
      <alignment horizontal="right"/>
    </xf>
    <xf numFmtId="0" fontId="8" fillId="0" borderId="0" xfId="0" applyFont="1"/>
    <xf numFmtId="0" fontId="19" fillId="0" borderId="0" xfId="4"/>
    <xf numFmtId="3" fontId="0" fillId="0" borderId="0" xfId="0" applyNumberFormat="1" applyFill="1" applyBorder="1" applyAlignment="1">
      <alignment horizontal="center"/>
    </xf>
    <xf numFmtId="3" fontId="5" fillId="2" borderId="11" xfId="0" applyNumberFormat="1" applyFont="1" applyFill="1" applyBorder="1"/>
    <xf numFmtId="3" fontId="8" fillId="0" borderId="13" xfId="0" applyNumberFormat="1" applyFont="1" applyFill="1" applyBorder="1" applyAlignment="1">
      <alignment wrapText="1"/>
    </xf>
    <xf numFmtId="3" fontId="8" fillId="0" borderId="0" xfId="0" applyNumberFormat="1" applyFont="1" applyBorder="1" applyAlignment="1">
      <alignment horizontal="center"/>
    </xf>
    <xf numFmtId="3" fontId="8" fillId="0" borderId="12" xfId="0" applyNumberFormat="1" applyFont="1" applyFill="1" applyBorder="1" applyAlignment="1">
      <alignment horizontal="center"/>
    </xf>
    <xf numFmtId="3" fontId="8" fillId="0" borderId="12" xfId="0" applyNumberFormat="1" applyFont="1" applyBorder="1" applyAlignment="1">
      <alignment horizontal="center"/>
    </xf>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3" fontId="8" fillId="0" borderId="12" xfId="0" applyNumberFormat="1" applyFont="1" applyFill="1" applyBorder="1" applyAlignment="1">
      <alignment horizontal="right"/>
    </xf>
    <xf numFmtId="3" fontId="0" fillId="0" borderId="0" xfId="0" applyNumberFormat="1" applyAlignment="1">
      <alignment horizontal="right"/>
    </xf>
    <xf numFmtId="3" fontId="5" fillId="2" borderId="11" xfId="0" applyNumberFormat="1" applyFont="1" applyFill="1" applyBorder="1" applyAlignment="1">
      <alignment horizontal="right"/>
    </xf>
    <xf numFmtId="3" fontId="8" fillId="0" borderId="12" xfId="0" applyNumberFormat="1" applyFont="1" applyBorder="1" applyAlignment="1">
      <alignment horizontal="right"/>
    </xf>
    <xf numFmtId="0" fontId="8" fillId="0" borderId="0" xfId="0" applyNumberFormat="1" applyFont="1" applyFill="1" applyBorder="1" applyAlignment="1">
      <alignment horizontal="right"/>
    </xf>
    <xf numFmtId="3" fontId="0" fillId="0" borderId="0" xfId="0" applyNumberFormat="1" applyBorder="1" applyAlignment="1">
      <alignment horizontal="right"/>
    </xf>
    <xf numFmtId="3" fontId="8" fillId="0" borderId="13" xfId="0" applyNumberFormat="1" applyFont="1" applyFill="1" applyBorder="1" applyAlignment="1">
      <alignment horizontal="center" wrapText="1"/>
    </xf>
    <xf numFmtId="164" fontId="0" fillId="0" borderId="2" xfId="0" applyNumberFormat="1" applyBorder="1" applyAlignment="1">
      <alignment horizontal="right"/>
    </xf>
    <xf numFmtId="3" fontId="0" fillId="2" borderId="4" xfId="0" applyNumberFormat="1" applyFill="1" applyBorder="1" applyAlignment="1">
      <alignment horizontal="right"/>
    </xf>
    <xf numFmtId="166" fontId="0" fillId="0" borderId="2" xfId="0" applyNumberFormat="1" applyBorder="1" applyAlignment="1">
      <alignment horizontal="right"/>
    </xf>
    <xf numFmtId="166" fontId="0" fillId="0" borderId="6" xfId="0" applyNumberFormat="1" applyBorder="1" applyAlignment="1">
      <alignment horizontal="right"/>
    </xf>
    <xf numFmtId="3" fontId="16" fillId="0" borderId="0" xfId="0" applyNumberFormat="1" applyFont="1" applyFill="1" applyAlignment="1">
      <alignment horizontal="left" wrapText="1"/>
    </xf>
    <xf numFmtId="3" fontId="0" fillId="2" borderId="3" xfId="0" applyNumberFormat="1" applyFill="1" applyBorder="1" applyAlignment="1">
      <alignment horizontal="center"/>
    </xf>
    <xf numFmtId="3" fontId="0" fillId="2" borderId="4" xfId="0" applyNumberFormat="1" applyFill="1" applyBorder="1" applyAlignment="1">
      <alignment horizontal="center"/>
    </xf>
    <xf numFmtId="3" fontId="8" fillId="2" borderId="3" xfId="0" applyNumberFormat="1" applyFont="1" applyFill="1" applyBorder="1" applyAlignment="1">
      <alignment horizontal="center"/>
    </xf>
    <xf numFmtId="3" fontId="8" fillId="2" borderId="4" xfId="0" applyNumberFormat="1" applyFont="1" applyFill="1" applyBorder="1" applyAlignment="1">
      <alignment horizontal="center"/>
    </xf>
    <xf numFmtId="3" fontId="0" fillId="0" borderId="0" xfId="0" applyNumberFormat="1" applyFill="1" applyBorder="1" applyAlignment="1">
      <alignment horizontal="center"/>
    </xf>
    <xf numFmtId="3" fontId="3" fillId="0" borderId="0" xfId="0" applyNumberFormat="1" applyFont="1" applyAlignment="1">
      <alignment horizontal="center"/>
    </xf>
    <xf numFmtId="3" fontId="9" fillId="3" borderId="8" xfId="0" applyNumberFormat="1" applyFont="1" applyFill="1" applyBorder="1" applyAlignment="1">
      <alignment horizontal="center"/>
    </xf>
    <xf numFmtId="3" fontId="9" fillId="3" borderId="0" xfId="0" applyNumberFormat="1" applyFont="1" applyFill="1" applyBorder="1" applyAlignment="1">
      <alignment horizontal="center"/>
    </xf>
    <xf numFmtId="3" fontId="8" fillId="4" borderId="3" xfId="0" applyNumberFormat="1" applyFont="1" applyFill="1" applyBorder="1" applyAlignment="1">
      <alignment horizontal="center"/>
    </xf>
    <xf numFmtId="3" fontId="8" fillId="4" borderId="4" xfId="0" applyNumberFormat="1" applyFont="1" applyFill="1" applyBorder="1" applyAlignment="1">
      <alignment horizontal="center"/>
    </xf>
    <xf numFmtId="3" fontId="0" fillId="4" borderId="3" xfId="0" applyNumberFormat="1" applyFill="1" applyBorder="1" applyAlignment="1">
      <alignment horizontal="center"/>
    </xf>
    <xf numFmtId="3" fontId="0" fillId="4" borderId="4" xfId="0" applyNumberFormat="1" applyFill="1" applyBorder="1" applyAlignment="1">
      <alignment horizontal="center"/>
    </xf>
    <xf numFmtId="3" fontId="8" fillId="2" borderId="7" xfId="0" applyNumberFormat="1" applyFont="1" applyFill="1" applyBorder="1" applyAlignment="1">
      <alignment horizontal="center"/>
    </xf>
    <xf numFmtId="3" fontId="0" fillId="2" borderId="7" xfId="0" applyNumberFormat="1" applyFill="1" applyBorder="1" applyAlignment="1">
      <alignment horizontal="center"/>
    </xf>
    <xf numFmtId="3" fontId="0" fillId="2" borderId="11" xfId="0" applyNumberFormat="1" applyFill="1" applyBorder="1" applyAlignment="1">
      <alignment horizontal="center"/>
    </xf>
  </cellXfs>
  <cellStyles count="5">
    <cellStyle name="Hyperlink" xfId="4" builtinId="8"/>
    <cellStyle name="Normal" xfId="0" builtinId="0"/>
    <cellStyle name="Normal 2" xfId="1"/>
    <cellStyle name="Normal 3" xfId="2"/>
    <cellStyle name="Normal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image" Target="../media/image3.jpeg"/><Relationship Id="rId7" Type="http://schemas.openxmlformats.org/officeDocument/2006/relationships/image" Target="http://www.vims.edu/intranet/pubs/_images/thumbs/seagrant.jpg"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jpeg"/><Relationship Id="rId5" Type="http://schemas.openxmlformats.org/officeDocument/2006/relationships/image" Target="https://pbs.twimg.com/profile_images/70239274/DSG_logo.jpg" TargetMode="External"/><Relationship Id="rId4" Type="http://schemas.openxmlformats.org/officeDocument/2006/relationships/image" Target="../media/image4.jpeg"/><Relationship Id="rId9" Type="http://schemas.openxmlformats.org/officeDocument/2006/relationships/image" Target="http://www.umces.edu/sites/default/files/seagrant_logo.png" TargetMode="External"/></Relationships>
</file>

<file path=xl/drawings/drawing1.xml><?xml version="1.0" encoding="utf-8"?>
<xdr:wsDr xmlns:xdr="http://schemas.openxmlformats.org/drawingml/2006/spreadsheetDrawing" xmlns:a="http://schemas.openxmlformats.org/drawingml/2006/main">
  <xdr:oneCellAnchor>
    <xdr:from>
      <xdr:col>1</xdr:col>
      <xdr:colOff>0</xdr:colOff>
      <xdr:row>16</xdr:row>
      <xdr:rowOff>0</xdr:rowOff>
    </xdr:from>
    <xdr:ext cx="6010275" cy="628442"/>
    <xdr:sp macro="" textlink="">
      <xdr:nvSpPr>
        <xdr:cNvPr id="2" name="TextBox 1"/>
        <xdr:cNvSpPr txBox="1"/>
      </xdr:nvSpPr>
      <xdr:spPr>
        <a:xfrm>
          <a:off x="685800" y="2952750"/>
          <a:ext cx="6010275" cy="62844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000">
              <a:latin typeface="Comic Sans MS" panose="030F0702030302020204" pitchFamily="66" charset="0"/>
            </a:rPr>
            <a:t>Brush, M.J., L.A. Harris, J.C.P. Giordano, and J.K. York.  2015.  Delmarva Coastal Bays Nitrogen Loading Model.  Virginia Institute of Marine Science, Gloucester Point, VA.   Available</a:t>
          </a:r>
          <a:r>
            <a:rPr lang="en-US" sz="1000" baseline="0">
              <a:latin typeface="Comic Sans MS" panose="030F0702030302020204" pitchFamily="66" charset="0"/>
            </a:rPr>
            <a:t> at:  http://www.vims.edu/research/departments/bio/programs/semp/models/index.php</a:t>
          </a:r>
        </a:p>
      </xdr:txBody>
    </xdr:sp>
    <xdr:clientData/>
  </xdr:oneCellAnchor>
  <xdr:twoCellAnchor>
    <xdr:from>
      <xdr:col>1</xdr:col>
      <xdr:colOff>85725</xdr:colOff>
      <xdr:row>24</xdr:row>
      <xdr:rowOff>85725</xdr:rowOff>
    </xdr:from>
    <xdr:to>
      <xdr:col>9</xdr:col>
      <xdr:colOff>542925</xdr:colOff>
      <xdr:row>32</xdr:row>
      <xdr:rowOff>171450</xdr:rowOff>
    </xdr:to>
    <xdr:grpSp>
      <xdr:nvGrpSpPr>
        <xdr:cNvPr id="3073" name="Group 1"/>
        <xdr:cNvGrpSpPr>
          <a:grpSpLocks/>
        </xdr:cNvGrpSpPr>
      </xdr:nvGrpSpPr>
      <xdr:grpSpPr bwMode="auto">
        <a:xfrm>
          <a:off x="771525" y="4752975"/>
          <a:ext cx="5943600" cy="1609725"/>
          <a:chOff x="1440" y="11606"/>
          <a:chExt cx="9360" cy="2536"/>
        </a:xfrm>
      </xdr:grpSpPr>
      <xdr:pic>
        <xdr:nvPicPr>
          <xdr:cNvPr id="4"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50000"/>
          <a:stretch>
            <a:fillRect/>
          </a:stretch>
        </xdr:blipFill>
        <xdr:spPr bwMode="auto">
          <a:xfrm>
            <a:off x="5205" y="11606"/>
            <a:ext cx="2775" cy="10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 y="11681"/>
            <a:ext cx="2418" cy="982"/>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pic>
        <xdr:nvPicPr>
          <xdr:cNvPr id="6" name="Picture 5" descr="VIMS_logo"/>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40" y="11734"/>
            <a:ext cx="3225" cy="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descr="https://pbs.twimg.com/profile_images/70239274/DSG_logo.jpg"/>
          <xdr:cNvPicPr>
            <a:picLocks noChangeAspect="1" noChangeArrowheads="1"/>
          </xdr:cNvPicPr>
        </xdr:nvPicPr>
        <xdr:blipFill>
          <a:blip xmlns:r="http://schemas.openxmlformats.org/officeDocument/2006/relationships" r:embed="rId4" r:link="rId5" cstate="print">
            <a:extLst>
              <a:ext uri="{28A0092B-C50C-407E-A947-70E740481C1C}">
                <a14:useLocalDpi xmlns:a14="http://schemas.microsoft.com/office/drawing/2010/main" val="0"/>
              </a:ext>
            </a:extLst>
          </a:blip>
          <a:srcRect l="8800" t="15723" r="8800" b="24863"/>
          <a:stretch>
            <a:fillRect/>
          </a:stretch>
        </xdr:blipFill>
        <xdr:spPr bwMode="auto">
          <a:xfrm>
            <a:off x="8025" y="12885"/>
            <a:ext cx="1575" cy="1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Picture 7" descr="Sea Grant Logo"/>
          <xdr:cNvPicPr>
            <a:picLocks noChangeAspect="1" noChangeArrowheads="1"/>
          </xdr:cNvPicPr>
        </xdr:nvPicPr>
        <xdr:blipFill>
          <a:blip xmlns:r="http://schemas.openxmlformats.org/officeDocument/2006/relationships" r:embed="rId6" r:link="rId7">
            <a:extLst>
              <a:ext uri="{28A0092B-C50C-407E-A947-70E740481C1C}">
                <a14:useLocalDpi xmlns:a14="http://schemas.microsoft.com/office/drawing/2010/main" val="0"/>
              </a:ext>
            </a:extLst>
          </a:blip>
          <a:srcRect/>
          <a:stretch>
            <a:fillRect/>
          </a:stretch>
        </xdr:blipFill>
        <xdr:spPr bwMode="auto">
          <a:xfrm>
            <a:off x="2490" y="12946"/>
            <a:ext cx="1935" cy="11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 name="Picture 8" descr="http://www.umces.edu/sites/default/files/seagrant_logo.png"/>
          <xdr:cNvPicPr>
            <a:picLocks noChangeAspect="1" noChangeArrowheads="1"/>
          </xdr:cNvPicPr>
        </xdr:nvPicPr>
        <xdr:blipFill>
          <a:blip xmlns:r="http://schemas.openxmlformats.org/officeDocument/2006/relationships" r:embed="rId8" r:link="rId9" cstate="print">
            <a:extLst>
              <a:ext uri="{28A0092B-C50C-407E-A947-70E740481C1C}">
                <a14:useLocalDpi xmlns:a14="http://schemas.microsoft.com/office/drawing/2010/main" val="0"/>
              </a:ext>
            </a:extLst>
          </a:blip>
          <a:srcRect/>
          <a:stretch>
            <a:fillRect/>
          </a:stretch>
        </xdr:blipFill>
        <xdr:spPr bwMode="auto">
          <a:xfrm>
            <a:off x="5400" y="12987"/>
            <a:ext cx="1620" cy="1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466725</xdr:colOff>
      <xdr:row>4</xdr:row>
      <xdr:rowOff>28574</xdr:rowOff>
    </xdr:from>
    <xdr:to>
      <xdr:col>3</xdr:col>
      <xdr:colOff>219075</xdr:colOff>
      <xdr:row>61</xdr:row>
      <xdr:rowOff>19051</xdr:rowOff>
    </xdr:to>
    <xdr:sp macro="" textlink="">
      <xdr:nvSpPr>
        <xdr:cNvPr id="2" name="Rectangle 1"/>
        <xdr:cNvSpPr>
          <a:spLocks noChangeArrowheads="1"/>
        </xdr:cNvSpPr>
      </xdr:nvSpPr>
      <xdr:spPr bwMode="auto">
        <a:xfrm>
          <a:off x="466725" y="942974"/>
          <a:ext cx="4133850" cy="1230630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182337</xdr:rowOff>
    </xdr:from>
    <xdr:to>
      <xdr:col>15</xdr:col>
      <xdr:colOff>201386</xdr:colOff>
      <xdr:row>40</xdr:row>
      <xdr:rowOff>19051</xdr:rowOff>
    </xdr:to>
    <xdr:sp macro="" textlink="">
      <xdr:nvSpPr>
        <xdr:cNvPr id="3" name="Rectangle 2"/>
        <xdr:cNvSpPr>
          <a:spLocks noChangeArrowheads="1"/>
        </xdr:cNvSpPr>
      </xdr:nvSpPr>
      <xdr:spPr bwMode="auto">
        <a:xfrm>
          <a:off x="14295665" y="906237"/>
          <a:ext cx="4174671" cy="75710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25</xdr:row>
      <xdr:rowOff>0</xdr:rowOff>
    </xdr:to>
    <xdr:sp macro="" textlink="">
      <xdr:nvSpPr>
        <xdr:cNvPr id="4" name="Rectangle 3"/>
        <xdr:cNvSpPr>
          <a:spLocks noChangeArrowheads="1"/>
        </xdr:cNvSpPr>
      </xdr:nvSpPr>
      <xdr:spPr bwMode="auto">
        <a:xfrm>
          <a:off x="10100582" y="911679"/>
          <a:ext cx="3234418" cy="4340678"/>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27</xdr:row>
      <xdr:rowOff>0</xdr:rowOff>
    </xdr:from>
    <xdr:to>
      <xdr:col>11</xdr:col>
      <xdr:colOff>204107</xdr:colOff>
      <xdr:row>85</xdr:row>
      <xdr:rowOff>1</xdr:rowOff>
    </xdr:to>
    <xdr:sp macro="" textlink="">
      <xdr:nvSpPr>
        <xdr:cNvPr id="5" name="Rectangle 5"/>
        <xdr:cNvSpPr>
          <a:spLocks noChangeArrowheads="1"/>
        </xdr:cNvSpPr>
      </xdr:nvSpPr>
      <xdr:spPr bwMode="auto">
        <a:xfrm>
          <a:off x="10110107" y="6055179"/>
          <a:ext cx="3224893" cy="12396108"/>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43</xdr:row>
      <xdr:rowOff>0</xdr:rowOff>
    </xdr:to>
    <xdr:sp macro="" textlink="">
      <xdr:nvSpPr>
        <xdr:cNvPr id="6" name="Rectangle 6"/>
        <xdr:cNvSpPr>
          <a:spLocks noChangeArrowheads="1"/>
        </xdr:cNvSpPr>
      </xdr:nvSpPr>
      <xdr:spPr bwMode="auto">
        <a:xfrm>
          <a:off x="5534025" y="914401"/>
          <a:ext cx="3657600" cy="839152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466725</xdr:colOff>
      <xdr:row>4</xdr:row>
      <xdr:rowOff>28574</xdr:rowOff>
    </xdr:from>
    <xdr:to>
      <xdr:col>5</xdr:col>
      <xdr:colOff>219075</xdr:colOff>
      <xdr:row>61</xdr:row>
      <xdr:rowOff>19051</xdr:rowOff>
    </xdr:to>
    <xdr:sp macro="" textlink="">
      <xdr:nvSpPr>
        <xdr:cNvPr id="2" name="Rectangle 1"/>
        <xdr:cNvSpPr>
          <a:spLocks noChangeArrowheads="1"/>
        </xdr:cNvSpPr>
      </xdr:nvSpPr>
      <xdr:spPr bwMode="auto">
        <a:xfrm>
          <a:off x="466725" y="1238249"/>
          <a:ext cx="4133850" cy="1231582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14</xdr:col>
      <xdr:colOff>465365</xdr:colOff>
      <xdr:row>3</xdr:row>
      <xdr:rowOff>182337</xdr:rowOff>
    </xdr:from>
    <xdr:to>
      <xdr:col>17</xdr:col>
      <xdr:colOff>201386</xdr:colOff>
      <xdr:row>40</xdr:row>
      <xdr:rowOff>19051</xdr:rowOff>
    </xdr:to>
    <xdr:sp macro="" textlink="">
      <xdr:nvSpPr>
        <xdr:cNvPr id="3" name="Rectangle 2"/>
        <xdr:cNvSpPr>
          <a:spLocks noChangeArrowheads="1"/>
        </xdr:cNvSpPr>
      </xdr:nvSpPr>
      <xdr:spPr bwMode="auto">
        <a:xfrm>
          <a:off x="14295665" y="1201512"/>
          <a:ext cx="4174671" cy="759006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xdr:col>
      <xdr:colOff>466725</xdr:colOff>
      <xdr:row>4</xdr:row>
      <xdr:rowOff>0</xdr:rowOff>
    </xdr:from>
    <xdr:to>
      <xdr:col>13</xdr:col>
      <xdr:colOff>204107</xdr:colOff>
      <xdr:row>25</xdr:row>
      <xdr:rowOff>0</xdr:rowOff>
    </xdr:to>
    <xdr:sp macro="" textlink="">
      <xdr:nvSpPr>
        <xdr:cNvPr id="4" name="Rectangle 3"/>
        <xdr:cNvSpPr>
          <a:spLocks noChangeArrowheads="1"/>
        </xdr:cNvSpPr>
      </xdr:nvSpPr>
      <xdr:spPr bwMode="auto">
        <a:xfrm>
          <a:off x="10115550" y="1209675"/>
          <a:ext cx="3233057" cy="4371975"/>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10</xdr:col>
      <xdr:colOff>476250</xdr:colOff>
      <xdr:row>27</xdr:row>
      <xdr:rowOff>0</xdr:rowOff>
    </xdr:from>
    <xdr:to>
      <xdr:col>13</xdr:col>
      <xdr:colOff>204107</xdr:colOff>
      <xdr:row>85</xdr:row>
      <xdr:rowOff>1</xdr:rowOff>
    </xdr:to>
    <xdr:sp macro="" textlink="">
      <xdr:nvSpPr>
        <xdr:cNvPr id="5" name="Rectangle 5"/>
        <xdr:cNvSpPr>
          <a:spLocks noChangeArrowheads="1"/>
        </xdr:cNvSpPr>
      </xdr:nvSpPr>
      <xdr:spPr bwMode="auto">
        <a:xfrm>
          <a:off x="10125075" y="5981700"/>
          <a:ext cx="3223532" cy="12515851"/>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466725</xdr:colOff>
      <xdr:row>4</xdr:row>
      <xdr:rowOff>1</xdr:rowOff>
    </xdr:from>
    <xdr:to>
      <xdr:col>9</xdr:col>
      <xdr:colOff>228600</xdr:colOff>
      <xdr:row>43</xdr:row>
      <xdr:rowOff>0</xdr:rowOff>
    </xdr:to>
    <xdr:sp macro="" textlink="">
      <xdr:nvSpPr>
        <xdr:cNvPr id="6" name="Rectangle 6"/>
        <xdr:cNvSpPr>
          <a:spLocks noChangeArrowheads="1"/>
        </xdr:cNvSpPr>
      </xdr:nvSpPr>
      <xdr:spPr bwMode="auto">
        <a:xfrm>
          <a:off x="5534025" y="1209676"/>
          <a:ext cx="3657600" cy="820102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1060" name="Rectangle 1"/>
        <xdr:cNvSpPr>
          <a:spLocks noChangeArrowheads="1"/>
        </xdr:cNvSpPr>
      </xdr:nvSpPr>
      <xdr:spPr bwMode="auto">
        <a:xfrm>
          <a:off x="466725" y="981073"/>
          <a:ext cx="4076700" cy="10598606"/>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1061" name="Rectangle 2"/>
        <xdr:cNvSpPr>
          <a:spLocks noChangeArrowheads="1"/>
        </xdr:cNvSpPr>
      </xdr:nvSpPr>
      <xdr:spPr bwMode="auto">
        <a:xfrm>
          <a:off x="14276615" y="925286"/>
          <a:ext cx="4171950" cy="7307035"/>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1062" name="Rectangle 3"/>
        <xdr:cNvSpPr>
          <a:spLocks noChangeArrowheads="1"/>
        </xdr:cNvSpPr>
      </xdr:nvSpPr>
      <xdr:spPr bwMode="auto">
        <a:xfrm>
          <a:off x="10100582" y="952500"/>
          <a:ext cx="3234418" cy="3660321"/>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1064" name="Rectangle 5"/>
        <xdr:cNvSpPr>
          <a:spLocks noChangeArrowheads="1"/>
        </xdr:cNvSpPr>
      </xdr:nvSpPr>
      <xdr:spPr bwMode="auto">
        <a:xfrm>
          <a:off x="10110107" y="5048250"/>
          <a:ext cx="3224893" cy="120015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1065" name="Rectangle 6"/>
        <xdr:cNvSpPr>
          <a:spLocks noChangeArrowheads="1"/>
        </xdr:cNvSpPr>
      </xdr:nvSpPr>
      <xdr:spPr bwMode="auto">
        <a:xfrm>
          <a:off x="5528582" y="952501"/>
          <a:ext cx="3653518" cy="7837713"/>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466725</xdr:colOff>
      <xdr:row>4</xdr:row>
      <xdr:rowOff>28573</xdr:rowOff>
    </xdr:from>
    <xdr:to>
      <xdr:col>3</xdr:col>
      <xdr:colOff>161925</xdr:colOff>
      <xdr:row>55</xdr:row>
      <xdr:rowOff>0</xdr:rowOff>
    </xdr:to>
    <xdr:sp macro="" textlink="">
      <xdr:nvSpPr>
        <xdr:cNvPr id="2" name="Rectangle 1"/>
        <xdr:cNvSpPr>
          <a:spLocks noChangeArrowheads="1"/>
        </xdr:cNvSpPr>
      </xdr:nvSpPr>
      <xdr:spPr bwMode="auto">
        <a:xfrm>
          <a:off x="466725" y="981073"/>
          <a:ext cx="4076700" cy="10687052"/>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465365</xdr:colOff>
      <xdr:row>3</xdr:row>
      <xdr:rowOff>163286</xdr:rowOff>
    </xdr:from>
    <xdr:to>
      <xdr:col>15</xdr:col>
      <xdr:colOff>201386</xdr:colOff>
      <xdr:row>39</xdr:row>
      <xdr:rowOff>0</xdr:rowOff>
    </xdr:to>
    <xdr:sp macro="" textlink="">
      <xdr:nvSpPr>
        <xdr:cNvPr id="3" name="Rectangle 2"/>
        <xdr:cNvSpPr>
          <a:spLocks noChangeArrowheads="1"/>
        </xdr:cNvSpPr>
      </xdr:nvSpPr>
      <xdr:spPr bwMode="auto">
        <a:xfrm>
          <a:off x="14295665" y="925286"/>
          <a:ext cx="4174671" cy="738051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466725</xdr:colOff>
      <xdr:row>4</xdr:row>
      <xdr:rowOff>0</xdr:rowOff>
    </xdr:from>
    <xdr:to>
      <xdr:col>11</xdr:col>
      <xdr:colOff>204107</xdr:colOff>
      <xdr:row>22</xdr:row>
      <xdr:rowOff>13607</xdr:rowOff>
    </xdr:to>
    <xdr:sp macro="" textlink="">
      <xdr:nvSpPr>
        <xdr:cNvPr id="4" name="Rectangle 3"/>
        <xdr:cNvSpPr>
          <a:spLocks noChangeArrowheads="1"/>
        </xdr:cNvSpPr>
      </xdr:nvSpPr>
      <xdr:spPr bwMode="auto">
        <a:xfrm>
          <a:off x="10115550" y="952500"/>
          <a:ext cx="3233057" cy="3747407"/>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a:lstStyle/>
        <a:p>
          <a:r>
            <a:rPr lang="en-US"/>
            <a:t>         </a:t>
          </a:r>
        </a:p>
      </xdr:txBody>
    </xdr:sp>
    <xdr:clientData/>
  </xdr:twoCellAnchor>
  <xdr:twoCellAnchor>
    <xdr:from>
      <xdr:col>8</xdr:col>
      <xdr:colOff>476250</xdr:colOff>
      <xdr:row>24</xdr:row>
      <xdr:rowOff>0</xdr:rowOff>
    </xdr:from>
    <xdr:to>
      <xdr:col>11</xdr:col>
      <xdr:colOff>204107</xdr:colOff>
      <xdr:row>82</xdr:row>
      <xdr:rowOff>0</xdr:rowOff>
    </xdr:to>
    <xdr:sp macro="" textlink="">
      <xdr:nvSpPr>
        <xdr:cNvPr id="5" name="Rectangle 5"/>
        <xdr:cNvSpPr>
          <a:spLocks noChangeArrowheads="1"/>
        </xdr:cNvSpPr>
      </xdr:nvSpPr>
      <xdr:spPr bwMode="auto">
        <a:xfrm>
          <a:off x="10125075" y="5086350"/>
          <a:ext cx="3223532" cy="12153900"/>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466725</xdr:colOff>
      <xdr:row>4</xdr:row>
      <xdr:rowOff>1</xdr:rowOff>
    </xdr:from>
    <xdr:to>
      <xdr:col>7</xdr:col>
      <xdr:colOff>228600</xdr:colOff>
      <xdr:row>42</xdr:row>
      <xdr:rowOff>0</xdr:rowOff>
    </xdr:to>
    <xdr:sp macro="" textlink="">
      <xdr:nvSpPr>
        <xdr:cNvPr id="6" name="Rectangle 6"/>
        <xdr:cNvSpPr>
          <a:spLocks noChangeArrowheads="1"/>
        </xdr:cNvSpPr>
      </xdr:nvSpPr>
      <xdr:spPr bwMode="auto">
        <a:xfrm>
          <a:off x="5534025" y="952501"/>
          <a:ext cx="3657600" cy="7991474"/>
        </a:xfrm>
        <a:prstGeom prst="rect">
          <a:avLst/>
        </a:prstGeom>
        <a:noFill/>
        <a:ln w="38100" cmpd="dbl">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2"/>
  <sheetViews>
    <sheetView tabSelected="1" workbookViewId="0"/>
  </sheetViews>
  <sheetFormatPr defaultRowHeight="15" x14ac:dyDescent="0.3"/>
  <sheetData>
    <row r="1" spans="2:2" s="1" customFormat="1" x14ac:dyDescent="0.3"/>
    <row r="2" spans="2:2" s="38" customFormat="1" ht="22.5" x14ac:dyDescent="0.45">
      <c r="B2" s="37" t="s">
        <v>166</v>
      </c>
    </row>
    <row r="4" spans="2:2" x14ac:dyDescent="0.3">
      <c r="B4" s="80" t="s">
        <v>167</v>
      </c>
    </row>
    <row r="5" spans="2:2" x14ac:dyDescent="0.3">
      <c r="B5" s="80" t="s">
        <v>188</v>
      </c>
    </row>
    <row r="6" spans="2:2" x14ac:dyDescent="0.3">
      <c r="B6" s="80" t="s">
        <v>189</v>
      </c>
    </row>
    <row r="7" spans="2:2" x14ac:dyDescent="0.3">
      <c r="B7" s="80" t="s">
        <v>190</v>
      </c>
    </row>
    <row r="9" spans="2:2" x14ac:dyDescent="0.3">
      <c r="B9" s="80" t="s">
        <v>168</v>
      </c>
    </row>
    <row r="10" spans="2:2" x14ac:dyDescent="0.3">
      <c r="B10" s="80" t="s">
        <v>172</v>
      </c>
    </row>
    <row r="11" spans="2:2" x14ac:dyDescent="0.3">
      <c r="B11" s="80" t="s">
        <v>169</v>
      </c>
    </row>
    <row r="13" spans="2:2" x14ac:dyDescent="0.3">
      <c r="B13" s="80" t="s">
        <v>170</v>
      </c>
    </row>
    <row r="15" spans="2:2" x14ac:dyDescent="0.3">
      <c r="B15" s="80" t="s">
        <v>171</v>
      </c>
    </row>
    <row r="17" spans="2:2" x14ac:dyDescent="0.3">
      <c r="B17" s="80"/>
    </row>
    <row r="18" spans="2:2" x14ac:dyDescent="0.3">
      <c r="B18" s="80"/>
    </row>
    <row r="19" spans="2:2" x14ac:dyDescent="0.3">
      <c r="B19" s="81"/>
    </row>
    <row r="22" spans="2:2" x14ac:dyDescent="0.3">
      <c r="B22" t="s">
        <v>191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95</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2282.8774229693022</v>
      </c>
    </row>
    <row r="9" spans="1:15" ht="16.5" x14ac:dyDescent="0.3">
      <c r="B9" s="40" t="s">
        <v>57</v>
      </c>
      <c r="C9" s="58">
        <v>7.1</v>
      </c>
      <c r="F9" s="40" t="s">
        <v>47</v>
      </c>
      <c r="G9" s="8">
        <v>0.35</v>
      </c>
      <c r="J9" s="40" t="s">
        <v>62</v>
      </c>
      <c r="K9" s="3">
        <f>SUM(C22:C30)*C9*G11</f>
        <v>72.360471748874247</v>
      </c>
    </row>
    <row r="10" spans="1:15" ht="16.5" x14ac:dyDescent="0.3">
      <c r="A10" s="32" t="s">
        <v>24</v>
      </c>
      <c r="B10" s="40" t="s">
        <v>80</v>
      </c>
      <c r="C10" s="60">
        <v>23221.771510777369</v>
      </c>
      <c r="F10" s="40" t="s">
        <v>69</v>
      </c>
      <c r="G10" s="8">
        <v>0.38</v>
      </c>
      <c r="J10" s="40" t="s">
        <v>63</v>
      </c>
      <c r="K10" s="3">
        <f>C16*C9*G10</f>
        <v>8.0130723748753372</v>
      </c>
      <c r="N10" s="16" t="s">
        <v>13</v>
      </c>
      <c r="O10" s="16">
        <f>C11*G15*G38*G39*G41</f>
        <v>191.24775607453697</v>
      </c>
    </row>
    <row r="11" spans="1:15" x14ac:dyDescent="0.3">
      <c r="B11" s="40" t="s">
        <v>163</v>
      </c>
      <c r="C11" s="52">
        <v>154.79130736413572</v>
      </c>
      <c r="F11" s="40" t="s">
        <v>70</v>
      </c>
      <c r="G11" s="8">
        <v>0.38</v>
      </c>
      <c r="J11" s="40" t="s">
        <v>64</v>
      </c>
      <c r="K11" s="3">
        <f>C17*C9</f>
        <v>2524.6928989738803</v>
      </c>
      <c r="N11" s="18"/>
      <c r="O11" s="18"/>
    </row>
    <row r="12" spans="1:15" ht="17.25" thickBot="1" x14ac:dyDescent="0.35">
      <c r="B12" s="40" t="s">
        <v>58</v>
      </c>
      <c r="C12" s="52">
        <v>0</v>
      </c>
      <c r="F12" s="39" t="s">
        <v>48</v>
      </c>
      <c r="G12" s="10">
        <v>0.38</v>
      </c>
      <c r="J12" s="40" t="s">
        <v>65</v>
      </c>
      <c r="K12" s="3">
        <f>C18*C9*G9</f>
        <v>262.11820479855373</v>
      </c>
      <c r="N12" s="47" t="s">
        <v>81</v>
      </c>
      <c r="O12" s="16">
        <f>C10</f>
        <v>23221.771510777369</v>
      </c>
    </row>
    <row r="13" spans="1:15" ht="15.75" thickBot="1" x14ac:dyDescent="0.35">
      <c r="B13" s="39" t="s">
        <v>56</v>
      </c>
      <c r="C13" s="55">
        <v>1731.7950035361955</v>
      </c>
      <c r="J13" s="39" t="s">
        <v>66</v>
      </c>
      <c r="K13" s="11">
        <f>C19*C9*G12</f>
        <v>550.23096974143982</v>
      </c>
      <c r="N13" s="18"/>
      <c r="O13" s="18"/>
    </row>
    <row r="14" spans="1:15" ht="17.25" thickBot="1" x14ac:dyDescent="0.35">
      <c r="C14" s="54"/>
      <c r="F14" s="4" t="s">
        <v>59</v>
      </c>
      <c r="G14" s="5"/>
      <c r="J14" s="106"/>
      <c r="K14" s="106"/>
      <c r="N14" s="47" t="s">
        <v>82</v>
      </c>
      <c r="O14" s="16">
        <f>C9*C13</f>
        <v>12295.744525106988</v>
      </c>
    </row>
    <row r="15" spans="1:15" ht="17.25" thickBot="1" x14ac:dyDescent="0.35">
      <c r="B15" s="4" t="s">
        <v>51</v>
      </c>
      <c r="C15" s="5"/>
      <c r="F15" s="39" t="s">
        <v>71</v>
      </c>
      <c r="G15" s="41">
        <v>4.8</v>
      </c>
      <c r="J15" s="104" t="s">
        <v>61</v>
      </c>
      <c r="K15" s="103"/>
    </row>
    <row r="16" spans="1:15" ht="17.25" thickBot="1" x14ac:dyDescent="0.35">
      <c r="B16" s="40" t="s">
        <v>32</v>
      </c>
      <c r="C16" s="3">
        <v>2.9700045866847065</v>
      </c>
      <c r="J16" s="42" t="s">
        <v>77</v>
      </c>
      <c r="K16" s="36">
        <f>C19*C33*G18*(1-G19)</f>
        <v>4441.2082387173223</v>
      </c>
      <c r="N16" s="114" t="s">
        <v>93</v>
      </c>
      <c r="O16" s="115"/>
    </row>
    <row r="17" spans="2:21" ht="16.5" thickTop="1" thickBot="1" x14ac:dyDescent="0.35">
      <c r="B17" s="40" t="s">
        <v>40</v>
      </c>
      <c r="C17" s="3">
        <v>355.59054915125074</v>
      </c>
      <c r="F17" s="4" t="s">
        <v>29</v>
      </c>
      <c r="G17" s="5"/>
      <c r="J17" s="43" t="s">
        <v>78</v>
      </c>
      <c r="K17" s="7">
        <f>SUM(K32,K38,K44,K50,K56,K62,K69,K75,K81)</f>
        <v>1146.8097648257328</v>
      </c>
      <c r="N17" s="108">
        <f>O8+O10+O12+O14</f>
        <v>37991.641214928197</v>
      </c>
      <c r="O17" s="108"/>
    </row>
    <row r="18" spans="2:21" ht="15.75" thickBot="1" x14ac:dyDescent="0.35">
      <c r="B18" s="40" t="s">
        <v>31</v>
      </c>
      <c r="C18" s="3">
        <v>105.48016289680231</v>
      </c>
      <c r="F18" s="2" t="s">
        <v>1</v>
      </c>
      <c r="G18" s="8">
        <v>0.34</v>
      </c>
      <c r="J18" s="22"/>
      <c r="K18" s="22"/>
      <c r="N18" s="109"/>
      <c r="O18" s="109"/>
    </row>
    <row r="19" spans="2:21" ht="15.75" thickBot="1" x14ac:dyDescent="0.35">
      <c r="B19" s="39" t="s">
        <v>41</v>
      </c>
      <c r="C19" s="11">
        <v>203.94031495234984</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v>
      </c>
      <c r="F22" s="40" t="s">
        <v>43</v>
      </c>
      <c r="G22" s="8">
        <v>0.39</v>
      </c>
      <c r="J22" s="22"/>
      <c r="K22" s="22"/>
      <c r="N22" s="40" t="s">
        <v>84</v>
      </c>
      <c r="O22" s="48">
        <f>SUM(K9:K13)*G40*G41/N17</f>
        <v>2.2802775330767581E-2</v>
      </c>
      <c r="P22" s="17"/>
      <c r="Q22" s="17"/>
      <c r="R22" s="17"/>
      <c r="S22" s="29"/>
      <c r="T22" s="29"/>
      <c r="U22" s="13"/>
    </row>
    <row r="23" spans="2:21" ht="16.5" x14ac:dyDescent="0.35">
      <c r="B23" s="75" t="s">
        <v>34</v>
      </c>
      <c r="C23" s="52">
        <v>12.873619881193344</v>
      </c>
      <c r="F23" s="40" t="s">
        <v>3</v>
      </c>
      <c r="G23" s="12">
        <v>5.3999999999999999E-2</v>
      </c>
      <c r="J23" s="22"/>
      <c r="K23" s="22"/>
      <c r="N23" s="40" t="s">
        <v>85</v>
      </c>
      <c r="O23" s="49">
        <f>K16*G40*G41/N17</f>
        <v>2.9634052452370978E-2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0</v>
      </c>
      <c r="P25" s="17"/>
      <c r="Q25" s="17"/>
      <c r="R25" s="17"/>
      <c r="S25" s="27"/>
      <c r="T25" s="27"/>
      <c r="U25" s="14"/>
    </row>
    <row r="26" spans="2:21" ht="16.5" x14ac:dyDescent="0.35">
      <c r="B26" s="75" t="s">
        <v>36</v>
      </c>
      <c r="C26" s="52">
        <v>0.40230062128729199</v>
      </c>
      <c r="F26" s="2"/>
      <c r="G26" s="3"/>
      <c r="J26" s="107" t="s">
        <v>73</v>
      </c>
      <c r="K26" s="107"/>
      <c r="N26" s="40" t="s">
        <v>34</v>
      </c>
      <c r="O26" s="8">
        <f>K38*G40*G41/N17</f>
        <v>3.2773491985627454E-3</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10.862116774756885</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0</v>
      </c>
      <c r="N29" s="40" t="s">
        <v>36</v>
      </c>
      <c r="O29" s="8">
        <f>K56*G40*G41/N17</f>
        <v>8.7347717272953274E-5</v>
      </c>
      <c r="P29" s="17"/>
      <c r="Q29" s="17"/>
      <c r="R29" s="17"/>
      <c r="S29" s="27"/>
      <c r="T29" s="27"/>
      <c r="U29" s="14"/>
    </row>
    <row r="30" spans="2:21" ht="17.25" thickBot="1" x14ac:dyDescent="0.35">
      <c r="B30" s="39" t="s">
        <v>39</v>
      </c>
      <c r="C30" s="55">
        <v>2.6820041419152805</v>
      </c>
      <c r="F30" s="42" t="s">
        <v>199</v>
      </c>
      <c r="G30" s="99">
        <v>1.8E-3</v>
      </c>
      <c r="J30" s="2" t="s">
        <v>7</v>
      </c>
      <c r="K30" s="3">
        <f>C46*G27*C22</f>
        <v>0</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0</v>
      </c>
      <c r="M31" s="17"/>
      <c r="N31" s="40" t="s">
        <v>87</v>
      </c>
      <c r="O31" s="8">
        <f>K69*G40*G41/N17</f>
        <v>3.9452628348620837E-3</v>
      </c>
      <c r="P31" s="17"/>
      <c r="Q31" s="17"/>
      <c r="R31" s="17"/>
      <c r="S31" s="27"/>
      <c r="T31" s="27"/>
      <c r="U31" s="14"/>
    </row>
    <row r="32" spans="2:21" ht="17.25" thickBot="1" x14ac:dyDescent="0.35">
      <c r="B32" s="4" t="s">
        <v>72</v>
      </c>
      <c r="C32" s="5"/>
      <c r="F32" s="40" t="s">
        <v>201</v>
      </c>
      <c r="G32" s="99">
        <v>1.6585714285714283E-2</v>
      </c>
      <c r="J32" s="6" t="s">
        <v>11</v>
      </c>
      <c r="K32" s="11">
        <f>K31</f>
        <v>0</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3.4215176874589622E-4</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1987.6774868513764</v>
      </c>
      <c r="N35" s="42" t="s">
        <v>89</v>
      </c>
      <c r="O35" s="8">
        <f>O10/N17</f>
        <v>5.0339429926862245E-3</v>
      </c>
      <c r="P35" s="17"/>
      <c r="Q35" s="17"/>
      <c r="R35" s="17"/>
      <c r="S35" s="17"/>
      <c r="T35" s="17"/>
    </row>
    <row r="36" spans="2:20" ht="17.25" thickBot="1" x14ac:dyDescent="0.35">
      <c r="B36" s="75" t="s">
        <v>34</v>
      </c>
      <c r="C36" s="52">
        <v>154.39926805320005</v>
      </c>
      <c r="J36" s="2" t="s">
        <v>7</v>
      </c>
      <c r="K36" s="3">
        <f>C47*G28*C23</f>
        <v>1496.5063827573792</v>
      </c>
      <c r="N36" s="42" t="s">
        <v>90</v>
      </c>
      <c r="O36" s="8">
        <f>O12/N17</f>
        <v>0.61123370215585082</v>
      </c>
      <c r="P36" s="17"/>
      <c r="Q36" s="17"/>
      <c r="R36" s="17"/>
      <c r="S36" s="17"/>
      <c r="T36" s="17"/>
    </row>
    <row r="37" spans="2:20" ht="16.5" x14ac:dyDescent="0.3">
      <c r="B37" s="75" t="s">
        <v>35</v>
      </c>
      <c r="C37" s="52">
        <v>132.34222975988575</v>
      </c>
      <c r="F37" s="4" t="s">
        <v>30</v>
      </c>
      <c r="G37" s="15"/>
      <c r="H37" s="35"/>
      <c r="J37" s="2" t="s">
        <v>8</v>
      </c>
      <c r="K37" s="36">
        <f>K35-K36</f>
        <v>491.1711040939972</v>
      </c>
      <c r="N37" s="42" t="s">
        <v>91</v>
      </c>
      <c r="O37" s="8">
        <f>O14/N17</f>
        <v>0.32364341554888065</v>
      </c>
      <c r="P37" s="17"/>
      <c r="Q37" s="17"/>
      <c r="R37" s="17"/>
      <c r="S37" s="17"/>
      <c r="T37" s="17"/>
    </row>
    <row r="38" spans="2:20" ht="18" thickBot="1" x14ac:dyDescent="0.4">
      <c r="B38" s="40" t="s">
        <v>54</v>
      </c>
      <c r="C38" s="36">
        <v>70</v>
      </c>
      <c r="F38" s="40" t="s">
        <v>68</v>
      </c>
      <c r="G38" s="8">
        <v>0.6</v>
      </c>
      <c r="H38" s="33"/>
      <c r="J38" s="6" t="s">
        <v>11</v>
      </c>
      <c r="K38" s="11">
        <f>K37</f>
        <v>491.1711040939972</v>
      </c>
      <c r="N38" s="50" t="s">
        <v>92</v>
      </c>
      <c r="O38" s="51">
        <f>SUM(O22:O37)</f>
        <v>0.99999999999999989</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93.742412746585728</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4672.6450331125816</v>
      </c>
      <c r="H46" s="34"/>
      <c r="J46" s="104" t="s">
        <v>23</v>
      </c>
      <c r="K46" s="103"/>
      <c r="N46" s="17"/>
      <c r="O46" s="17"/>
      <c r="P46" s="17"/>
      <c r="Q46" s="17"/>
      <c r="R46" s="17"/>
      <c r="S46" s="17"/>
      <c r="T46" s="17"/>
    </row>
    <row r="47" spans="2:20" ht="16.5" x14ac:dyDescent="0.3">
      <c r="B47" s="75" t="s">
        <v>34</v>
      </c>
      <c r="C47" s="52">
        <v>8210.082119205299</v>
      </c>
      <c r="H47" s="34"/>
      <c r="J47" s="40" t="s">
        <v>75</v>
      </c>
      <c r="K47" s="3">
        <f>C25*C38</f>
        <v>0</v>
      </c>
      <c r="N47" s="17"/>
      <c r="O47" s="17"/>
      <c r="P47" s="17"/>
      <c r="Q47" s="17"/>
      <c r="R47" s="17"/>
      <c r="S47" s="17"/>
      <c r="T47" s="17"/>
    </row>
    <row r="48" spans="2:20" ht="16.5" x14ac:dyDescent="0.3">
      <c r="B48" s="75" t="s">
        <v>35</v>
      </c>
      <c r="C48" s="52">
        <v>46739.900662251654</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2465.8940397350989</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51.896780146060664</v>
      </c>
      <c r="M53"/>
      <c r="N53" s="17"/>
      <c r="O53" s="17"/>
      <c r="P53" s="17"/>
      <c r="Q53" s="17"/>
      <c r="R53" s="17"/>
      <c r="S53" s="17"/>
      <c r="T53" s="17"/>
    </row>
    <row r="54" spans="2:20" ht="17.25" thickBot="1" x14ac:dyDescent="0.35">
      <c r="B54" s="39" t="s">
        <v>39</v>
      </c>
      <c r="C54" s="55">
        <v>3973.900331125828</v>
      </c>
      <c r="D54" s="28"/>
      <c r="E54"/>
      <c r="H54" s="34"/>
      <c r="J54" s="2" t="s">
        <v>7</v>
      </c>
      <c r="K54" s="3">
        <f>C50*G31*C26</f>
        <v>38.806116889346555</v>
      </c>
      <c r="M54"/>
      <c r="N54" s="17"/>
      <c r="O54" s="17"/>
      <c r="P54" s="17"/>
      <c r="Q54" s="17"/>
      <c r="R54" s="17"/>
      <c r="S54" s="17"/>
      <c r="T54" s="17"/>
    </row>
    <row r="55" spans="2:20" ht="16.5" x14ac:dyDescent="0.3">
      <c r="D55" s="28"/>
      <c r="E55"/>
      <c r="H55" s="34"/>
      <c r="J55" s="2" t="s">
        <v>8</v>
      </c>
      <c r="K55" s="3">
        <f>K53-K54</f>
        <v>13.090663256714109</v>
      </c>
      <c r="M55"/>
      <c r="N55" s="17"/>
      <c r="O55" s="17"/>
      <c r="P55" s="17"/>
      <c r="Q55" s="17"/>
      <c r="R55" s="17"/>
      <c r="S55" s="17"/>
      <c r="T55" s="17"/>
    </row>
    <row r="56" spans="2:20" ht="17.25" thickBot="1" x14ac:dyDescent="0.35">
      <c r="B56" s="27"/>
      <c r="C56" s="27"/>
      <c r="D56" s="28"/>
      <c r="E56"/>
      <c r="H56" s="34"/>
      <c r="J56" s="6" t="s">
        <v>11</v>
      </c>
      <c r="K56" s="11">
        <f>K55</f>
        <v>13.090663256714109</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2172.423354951377</v>
      </c>
      <c r="N66" s="17"/>
      <c r="O66" s="17"/>
      <c r="P66" s="30"/>
      <c r="Q66" s="30"/>
      <c r="R66" s="17"/>
      <c r="S66" s="17"/>
      <c r="T66" s="17"/>
    </row>
    <row r="67" spans="4:20" ht="16.5" x14ac:dyDescent="0.3">
      <c r="F67" s="20"/>
      <c r="G67" s="31"/>
      <c r="H67" s="20"/>
      <c r="J67" s="2" t="s">
        <v>7</v>
      </c>
      <c r="K67" s="3">
        <f>C52*G33*C28</f>
        <v>1581.1530980651016</v>
      </c>
      <c r="N67" s="17"/>
      <c r="O67" s="17"/>
      <c r="P67" s="30"/>
      <c r="Q67" s="30"/>
      <c r="R67" s="17"/>
      <c r="S67" s="17"/>
      <c r="T67" s="17"/>
    </row>
    <row r="68" spans="4:20" ht="16.5" x14ac:dyDescent="0.3">
      <c r="F68" s="26"/>
      <c r="G68" s="22"/>
      <c r="H68" s="26"/>
      <c r="J68" s="2" t="s">
        <v>8</v>
      </c>
      <c r="K68" s="3">
        <f>(K65+K66)-K67</f>
        <v>591.27025688627532</v>
      </c>
      <c r="N68" s="17"/>
      <c r="O68" s="17"/>
      <c r="P68" s="30"/>
      <c r="Q68" s="30"/>
      <c r="R68" s="17"/>
      <c r="S68" s="17"/>
      <c r="T68" s="17"/>
    </row>
    <row r="69" spans="4:20" ht="17.25" thickBot="1" x14ac:dyDescent="0.35">
      <c r="F69" s="26"/>
      <c r="G69" s="22"/>
      <c r="H69" s="26"/>
      <c r="J69" s="6" t="s">
        <v>11</v>
      </c>
      <c r="K69" s="11">
        <f>K68</f>
        <v>591.27025688627532</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251.41753925947469</v>
      </c>
      <c r="N78" s="17"/>
      <c r="O78" s="17"/>
      <c r="P78" s="17"/>
      <c r="Q78" s="17"/>
      <c r="R78" s="17"/>
      <c r="S78" s="17"/>
      <c r="T78" s="17"/>
    </row>
    <row r="79" spans="4:20" ht="16.5" x14ac:dyDescent="0.3">
      <c r="J79" s="19" t="s">
        <v>14</v>
      </c>
      <c r="K79" s="3">
        <f>C54*G35*C30</f>
        <v>200.13979867072845</v>
      </c>
      <c r="N79" s="17"/>
      <c r="O79" s="17"/>
      <c r="P79" s="17"/>
      <c r="Q79" s="17"/>
      <c r="R79" s="17"/>
      <c r="S79" s="17"/>
      <c r="T79" s="17"/>
    </row>
    <row r="80" spans="4:20" ht="16.5" x14ac:dyDescent="0.3">
      <c r="J80" s="19" t="s">
        <v>15</v>
      </c>
      <c r="K80" s="3">
        <f>K78-K79</f>
        <v>51.277740588746241</v>
      </c>
      <c r="N80" s="17"/>
      <c r="O80" s="17"/>
      <c r="P80" s="17"/>
      <c r="Q80" s="17"/>
      <c r="R80" s="17"/>
      <c r="S80" s="17"/>
      <c r="T80" s="17"/>
    </row>
    <row r="81" spans="10:20" ht="17.25" thickBot="1" x14ac:dyDescent="0.35">
      <c r="J81" s="21" t="s">
        <v>16</v>
      </c>
      <c r="K81" s="11">
        <f>K78-K79</f>
        <v>51.277740588746241</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94</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6937.5621388565551</v>
      </c>
    </row>
    <row r="9" spans="1:15" ht="16.5" x14ac:dyDescent="0.3">
      <c r="B9" s="40" t="s">
        <v>57</v>
      </c>
      <c r="C9" s="58">
        <v>7.1</v>
      </c>
      <c r="F9" s="40" t="s">
        <v>47</v>
      </c>
      <c r="G9" s="8">
        <v>0.35</v>
      </c>
      <c r="J9" s="40" t="s">
        <v>62</v>
      </c>
      <c r="K9" s="3">
        <f>SUM(C22:C30)*C9*G11</f>
        <v>702.96498561406372</v>
      </c>
    </row>
    <row r="10" spans="1:15" ht="16.5" x14ac:dyDescent="0.3">
      <c r="A10" s="32" t="s">
        <v>24</v>
      </c>
      <c r="B10" s="40" t="s">
        <v>80</v>
      </c>
      <c r="C10" s="60">
        <v>289.74459289205851</v>
      </c>
      <c r="F10" s="40" t="s">
        <v>69</v>
      </c>
      <c r="G10" s="8">
        <v>0.38</v>
      </c>
      <c r="J10" s="40" t="s">
        <v>63</v>
      </c>
      <c r="K10" s="3">
        <f>C16*C9*G10</f>
        <v>925.63126948559966</v>
      </c>
      <c r="N10" s="16" t="s">
        <v>13</v>
      </c>
      <c r="O10" s="16">
        <f>C11*G15*G38*G39*G41</f>
        <v>245.39713898770287</v>
      </c>
    </row>
    <row r="11" spans="1:15" x14ac:dyDescent="0.3">
      <c r="B11" s="40" t="s">
        <v>163</v>
      </c>
      <c r="C11" s="52">
        <v>198.61850798667999</v>
      </c>
      <c r="F11" s="40" t="s">
        <v>70</v>
      </c>
      <c r="G11" s="8">
        <v>0.38</v>
      </c>
      <c r="J11" s="40" t="s">
        <v>64</v>
      </c>
      <c r="K11" s="3">
        <f>C17*C9</f>
        <v>2657.6051042349704</v>
      </c>
      <c r="N11" s="18"/>
      <c r="O11" s="18"/>
    </row>
    <row r="12" spans="1:15" ht="17.25" thickBot="1" x14ac:dyDescent="0.35">
      <c r="B12" s="40" t="s">
        <v>58</v>
      </c>
      <c r="C12" s="52">
        <v>0</v>
      </c>
      <c r="F12" s="39" t="s">
        <v>48</v>
      </c>
      <c r="G12" s="10">
        <v>0.38</v>
      </c>
      <c r="J12" s="40" t="s">
        <v>65</v>
      </c>
      <c r="K12" s="3">
        <f>C18*C9*G9</f>
        <v>1963.6500325352397</v>
      </c>
      <c r="N12" s="47" t="s">
        <v>81</v>
      </c>
      <c r="O12" s="16">
        <f>C10</f>
        <v>289.74459289205851</v>
      </c>
    </row>
    <row r="13" spans="1:15" ht="15.75" thickBot="1" x14ac:dyDescent="0.35">
      <c r="B13" s="39" t="s">
        <v>56</v>
      </c>
      <c r="C13" s="55">
        <v>2367.3209327687032</v>
      </c>
      <c r="J13" s="39" t="s">
        <v>66</v>
      </c>
      <c r="K13" s="11">
        <f>C19*C9*G12</f>
        <v>1099.7334783578913</v>
      </c>
      <c r="N13" s="18"/>
      <c r="O13" s="18"/>
    </row>
    <row r="14" spans="1:15" ht="17.25" thickBot="1" x14ac:dyDescent="0.35">
      <c r="C14" s="54"/>
      <c r="F14" s="4" t="s">
        <v>59</v>
      </c>
      <c r="G14" s="5"/>
      <c r="J14" s="106"/>
      <c r="K14" s="106"/>
      <c r="N14" s="47" t="s">
        <v>82</v>
      </c>
      <c r="O14" s="16">
        <f>C9*C13</f>
        <v>16807.978622657793</v>
      </c>
    </row>
    <row r="15" spans="1:15" ht="17.25" thickBot="1" x14ac:dyDescent="0.35">
      <c r="B15" s="4" t="s">
        <v>51</v>
      </c>
      <c r="C15" s="5"/>
      <c r="F15" s="39" t="s">
        <v>71</v>
      </c>
      <c r="G15" s="41">
        <v>4.8</v>
      </c>
      <c r="J15" s="104" t="s">
        <v>61</v>
      </c>
      <c r="K15" s="103"/>
    </row>
    <row r="16" spans="1:15" ht="17.25" thickBot="1" x14ac:dyDescent="0.35">
      <c r="B16" s="40" t="s">
        <v>32</v>
      </c>
      <c r="C16" s="3">
        <v>343.08052983157881</v>
      </c>
      <c r="J16" s="42" t="s">
        <v>77</v>
      </c>
      <c r="K16" s="36">
        <f>C19*C33*G18*(1-G19)</f>
        <v>8876.5366783542613</v>
      </c>
      <c r="N16" s="114" t="s">
        <v>93</v>
      </c>
      <c r="O16" s="115"/>
    </row>
    <row r="17" spans="2:21" ht="16.5" thickTop="1" thickBot="1" x14ac:dyDescent="0.35">
      <c r="B17" s="40" t="s">
        <v>40</v>
      </c>
      <c r="C17" s="3">
        <v>374.31057806126347</v>
      </c>
      <c r="F17" s="4" t="s">
        <v>29</v>
      </c>
      <c r="G17" s="5"/>
      <c r="J17" s="43" t="s">
        <v>78</v>
      </c>
      <c r="K17" s="7">
        <f>SUM(K32,K38,K44,K50,K56,K62,K69,K75,K81)</f>
        <v>11140.987480437911</v>
      </c>
      <c r="N17" s="108">
        <f>O8+O10+O12+O14</f>
        <v>24280.68249339411</v>
      </c>
      <c r="O17" s="108"/>
    </row>
    <row r="18" spans="2:21" ht="15.75" thickBot="1" x14ac:dyDescent="0.35">
      <c r="B18" s="40" t="s">
        <v>31</v>
      </c>
      <c r="C18" s="3">
        <v>790.20122033611267</v>
      </c>
      <c r="F18" s="2" t="s">
        <v>1</v>
      </c>
      <c r="G18" s="8">
        <v>0.34</v>
      </c>
      <c r="J18" s="22"/>
      <c r="K18" s="22"/>
      <c r="N18" s="109"/>
      <c r="O18" s="109"/>
    </row>
    <row r="19" spans="2:21" ht="15.75" thickBot="1" x14ac:dyDescent="0.35">
      <c r="B19" s="39" t="s">
        <v>41</v>
      </c>
      <c r="C19" s="11">
        <v>407.61062948772837</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v>
      </c>
      <c r="F22" s="40" t="s">
        <v>43</v>
      </c>
      <c r="G22" s="8">
        <v>0.39</v>
      </c>
      <c r="J22" s="22"/>
      <c r="K22" s="22"/>
      <c r="N22" s="40" t="s">
        <v>84</v>
      </c>
      <c r="O22" s="48">
        <f>SUM(K9:K13)*G40*G41/N17</f>
        <v>7.6732594526930029E-2</v>
      </c>
      <c r="P22" s="17"/>
      <c r="Q22" s="17"/>
      <c r="R22" s="17"/>
      <c r="S22" s="29"/>
      <c r="T22" s="29"/>
      <c r="U22" s="13"/>
    </row>
    <row r="23" spans="2:21" ht="16.5" x14ac:dyDescent="0.35">
      <c r="B23" s="75" t="s">
        <v>34</v>
      </c>
      <c r="C23" s="52">
        <v>125.06419314112327</v>
      </c>
      <c r="F23" s="40" t="s">
        <v>3</v>
      </c>
      <c r="G23" s="12">
        <v>5.3999999999999999E-2</v>
      </c>
      <c r="J23" s="22"/>
      <c r="K23" s="22"/>
      <c r="N23" s="40" t="s">
        <v>85</v>
      </c>
      <c r="O23" s="49">
        <f>K16*G40*G41/N17</f>
        <v>9.2674579825958503E-2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0</v>
      </c>
      <c r="P25" s="17"/>
      <c r="Q25" s="17"/>
      <c r="R25" s="17"/>
      <c r="S25" s="27"/>
      <c r="T25" s="27"/>
      <c r="U25" s="14"/>
    </row>
    <row r="26" spans="2:21" ht="16.5" x14ac:dyDescent="0.35">
      <c r="B26" s="75" t="s">
        <v>36</v>
      </c>
      <c r="C26" s="52">
        <v>3.9082560356601022</v>
      </c>
      <c r="F26" s="2"/>
      <c r="G26" s="3"/>
      <c r="J26" s="107" t="s">
        <v>73</v>
      </c>
      <c r="K26" s="107"/>
      <c r="N26" s="40" t="s">
        <v>34</v>
      </c>
      <c r="O26" s="8">
        <f>K38*G40*G41/N17</f>
        <v>4.9817529515840224E-2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105.52291296282277</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0</v>
      </c>
      <c r="N29" s="40" t="s">
        <v>36</v>
      </c>
      <c r="O29" s="8">
        <f>K56*G40*G41/N17</f>
        <v>1.3277338543280363E-3</v>
      </c>
      <c r="P29" s="17"/>
      <c r="Q29" s="17"/>
      <c r="R29" s="17"/>
      <c r="S29" s="27"/>
      <c r="T29" s="27"/>
      <c r="U29" s="14"/>
    </row>
    <row r="30" spans="2:21" ht="17.25" thickBot="1" x14ac:dyDescent="0.35">
      <c r="B30" s="39" t="s">
        <v>39</v>
      </c>
      <c r="C30" s="55">
        <v>26.055040237734019</v>
      </c>
      <c r="F30" s="42" t="s">
        <v>199</v>
      </c>
      <c r="G30" s="99">
        <v>1.8E-3</v>
      </c>
      <c r="J30" s="2" t="s">
        <v>7</v>
      </c>
      <c r="K30" s="3">
        <f>C46*G27*C22</f>
        <v>0</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0</v>
      </c>
      <c r="M31" s="17"/>
      <c r="N31" s="40" t="s">
        <v>87</v>
      </c>
      <c r="O31" s="8">
        <f>K69*G40*G41/N17</f>
        <v>5.9970188043947756E-2</v>
      </c>
      <c r="P31" s="17"/>
      <c r="Q31" s="17"/>
      <c r="R31" s="17"/>
      <c r="S31" s="27"/>
      <c r="T31" s="27"/>
      <c r="U31" s="14"/>
    </row>
    <row r="32" spans="2:21" ht="17.25" thickBot="1" x14ac:dyDescent="0.35">
      <c r="B32" s="4" t="s">
        <v>72</v>
      </c>
      <c r="C32" s="5"/>
      <c r="F32" s="40" t="s">
        <v>201</v>
      </c>
      <c r="G32" s="99">
        <v>1.6585714285714283E-2</v>
      </c>
      <c r="J32" s="6" t="s">
        <v>11</v>
      </c>
      <c r="K32" s="11">
        <f>K31</f>
        <v>0</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5.2008970682375366E-3</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19309.819880653475</v>
      </c>
      <c r="N35" s="42" t="s">
        <v>89</v>
      </c>
      <c r="O35" s="8">
        <f>O10/N17</f>
        <v>1.0106682094066611E-2</v>
      </c>
      <c r="P35" s="17"/>
      <c r="Q35" s="17"/>
      <c r="R35" s="17"/>
      <c r="S35" s="17"/>
      <c r="T35" s="17"/>
    </row>
    <row r="36" spans="2:20" ht="17.25" thickBot="1" x14ac:dyDescent="0.35">
      <c r="B36" s="75" t="s">
        <v>34</v>
      </c>
      <c r="C36" s="52">
        <v>154.39926805320005</v>
      </c>
      <c r="J36" s="2" t="s">
        <v>7</v>
      </c>
      <c r="K36" s="3">
        <f>C47*G28*C23</f>
        <v>14538.207980142997</v>
      </c>
      <c r="N36" s="42" t="s">
        <v>90</v>
      </c>
      <c r="O36" s="8">
        <f>O12/N17</f>
        <v>1.1933132150255144E-2</v>
      </c>
      <c r="P36" s="17"/>
      <c r="Q36" s="17"/>
      <c r="R36" s="17"/>
      <c r="S36" s="17"/>
      <c r="T36" s="17"/>
    </row>
    <row r="37" spans="2:20" ht="16.5" x14ac:dyDescent="0.3">
      <c r="B37" s="75" t="s">
        <v>35</v>
      </c>
      <c r="C37" s="52">
        <v>132.34222975988575</v>
      </c>
      <c r="F37" s="4" t="s">
        <v>30</v>
      </c>
      <c r="G37" s="15"/>
      <c r="H37" s="35"/>
      <c r="J37" s="2" t="s">
        <v>8</v>
      </c>
      <c r="K37" s="36">
        <f>K35-K36</f>
        <v>4771.6119005104774</v>
      </c>
      <c r="N37" s="42" t="s">
        <v>91</v>
      </c>
      <c r="O37" s="8">
        <f>O14/N17</f>
        <v>0.69223666292043606</v>
      </c>
      <c r="P37" s="17"/>
      <c r="Q37" s="17"/>
      <c r="R37" s="17"/>
      <c r="S37" s="17"/>
      <c r="T37" s="17"/>
    </row>
    <row r="38" spans="2:20" ht="18" thickBot="1" x14ac:dyDescent="0.4">
      <c r="B38" s="40" t="s">
        <v>54</v>
      </c>
      <c r="C38" s="36">
        <v>70</v>
      </c>
      <c r="F38" s="40" t="s">
        <v>68</v>
      </c>
      <c r="G38" s="8">
        <v>0.6</v>
      </c>
      <c r="H38" s="33"/>
      <c r="J38" s="6" t="s">
        <v>11</v>
      </c>
      <c r="K38" s="11">
        <f>K37</f>
        <v>4771.6119005104774</v>
      </c>
      <c r="N38" s="50" t="s">
        <v>92</v>
      </c>
      <c r="O38" s="51">
        <f>SUM(O22:O37)</f>
        <v>0.99999999999999989</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93.742412746585728</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4672.6450331125816</v>
      </c>
      <c r="H46" s="34"/>
      <c r="J46" s="104" t="s">
        <v>23</v>
      </c>
      <c r="K46" s="103"/>
      <c r="N46" s="17"/>
      <c r="O46" s="17"/>
      <c r="P46" s="17"/>
      <c r="Q46" s="17"/>
      <c r="R46" s="17"/>
      <c r="S46" s="17"/>
      <c r="T46" s="17"/>
    </row>
    <row r="47" spans="2:20" ht="16.5" x14ac:dyDescent="0.3">
      <c r="B47" s="75" t="s">
        <v>34</v>
      </c>
      <c r="C47" s="52">
        <v>8210.082119205299</v>
      </c>
      <c r="H47" s="34"/>
      <c r="J47" s="40" t="s">
        <v>75</v>
      </c>
      <c r="K47" s="3">
        <f>C25*C38</f>
        <v>0</v>
      </c>
      <c r="N47" s="17"/>
      <c r="O47" s="17"/>
      <c r="P47" s="17"/>
      <c r="Q47" s="17"/>
      <c r="R47" s="17"/>
      <c r="S47" s="17"/>
      <c r="T47" s="17"/>
    </row>
    <row r="48" spans="2:20" ht="16.5" x14ac:dyDescent="0.3">
      <c r="B48" s="75" t="s">
        <v>35</v>
      </c>
      <c r="C48" s="52">
        <v>46739.900662251654</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2465.8940397350989</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504.16502860015316</v>
      </c>
      <c r="M53"/>
      <c r="N53" s="17"/>
      <c r="O53" s="17"/>
      <c r="P53" s="17"/>
      <c r="Q53" s="17"/>
      <c r="R53" s="17"/>
      <c r="S53" s="17"/>
      <c r="T53" s="17"/>
    </row>
    <row r="54" spans="2:20" ht="17.25" thickBot="1" x14ac:dyDescent="0.35">
      <c r="B54" s="39" t="s">
        <v>39</v>
      </c>
      <c r="C54" s="55">
        <v>3973.900331125828</v>
      </c>
      <c r="D54" s="28"/>
      <c r="E54"/>
      <c r="H54" s="34"/>
      <c r="J54" s="2" t="s">
        <v>7</v>
      </c>
      <c r="K54" s="3">
        <f>C50*G31*C26</f>
        <v>376.99231004918892</v>
      </c>
      <c r="M54"/>
      <c r="N54" s="17"/>
      <c r="O54" s="17"/>
      <c r="P54" s="17"/>
      <c r="Q54" s="17"/>
      <c r="R54" s="17"/>
      <c r="S54" s="17"/>
      <c r="T54" s="17"/>
    </row>
    <row r="55" spans="2:20" ht="16.5" x14ac:dyDescent="0.3">
      <c r="D55" s="28"/>
      <c r="E55"/>
      <c r="H55" s="34"/>
      <c r="J55" s="2" t="s">
        <v>8</v>
      </c>
      <c r="K55" s="3">
        <f>K53-K54</f>
        <v>127.17271855096425</v>
      </c>
      <c r="M55"/>
      <c r="N55" s="17"/>
      <c r="O55" s="17"/>
      <c r="P55" s="17"/>
      <c r="Q55" s="17"/>
      <c r="R55" s="17"/>
      <c r="S55" s="17"/>
      <c r="T55" s="17"/>
    </row>
    <row r="56" spans="2:20" ht="17.25" thickBot="1" x14ac:dyDescent="0.35">
      <c r="B56" s="27"/>
      <c r="C56" s="27"/>
      <c r="D56" s="28"/>
      <c r="E56"/>
      <c r="H56" s="34"/>
      <c r="J56" s="6" t="s">
        <v>11</v>
      </c>
      <c r="K56" s="11">
        <f>K55</f>
        <v>127.17271855096425</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21104.582592564555</v>
      </c>
      <c r="N66" s="17"/>
      <c r="O66" s="17"/>
      <c r="P66" s="30"/>
      <c r="Q66" s="30"/>
      <c r="R66" s="17"/>
      <c r="S66" s="17"/>
      <c r="T66" s="17"/>
    </row>
    <row r="67" spans="4:20" ht="16.5" x14ac:dyDescent="0.3">
      <c r="F67" s="20"/>
      <c r="G67" s="31"/>
      <c r="H67" s="20"/>
      <c r="J67" s="2" t="s">
        <v>7</v>
      </c>
      <c r="K67" s="3">
        <f>C52*G33*C28</f>
        <v>15360.530935900906</v>
      </c>
      <c r="N67" s="17"/>
      <c r="O67" s="17"/>
      <c r="P67" s="30"/>
      <c r="Q67" s="30"/>
      <c r="R67" s="17"/>
      <c r="S67" s="17"/>
      <c r="T67" s="17"/>
    </row>
    <row r="68" spans="4:20" ht="16.5" x14ac:dyDescent="0.3">
      <c r="F68" s="26"/>
      <c r="G68" s="22"/>
      <c r="H68" s="26"/>
      <c r="J68" s="2" t="s">
        <v>8</v>
      </c>
      <c r="K68" s="3">
        <f>(K65+K66)-K67</f>
        <v>5744.0516566636488</v>
      </c>
      <c r="N68" s="17"/>
      <c r="O68" s="17"/>
      <c r="P68" s="30"/>
      <c r="Q68" s="30"/>
      <c r="R68" s="17"/>
      <c r="S68" s="17"/>
      <c r="T68" s="17"/>
    </row>
    <row r="69" spans="4:20" ht="17.25" thickBot="1" x14ac:dyDescent="0.35">
      <c r="F69" s="26"/>
      <c r="G69" s="22"/>
      <c r="H69" s="26"/>
      <c r="J69" s="6" t="s">
        <v>11</v>
      </c>
      <c r="K69" s="11">
        <f>K68</f>
        <v>5744.0516566636488</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2442.4623360945616</v>
      </c>
      <c r="N78" s="17"/>
      <c r="O78" s="17"/>
      <c r="P78" s="17"/>
      <c r="Q78" s="17"/>
      <c r="R78" s="17"/>
      <c r="S78" s="17"/>
      <c r="T78" s="17"/>
    </row>
    <row r="79" spans="4:20" ht="16.5" x14ac:dyDescent="0.3">
      <c r="J79" s="19" t="s">
        <v>14</v>
      </c>
      <c r="K79" s="3">
        <f>C54*G35*C30</f>
        <v>1944.3111313817415</v>
      </c>
      <c r="N79" s="17"/>
      <c r="O79" s="17"/>
      <c r="P79" s="17"/>
      <c r="Q79" s="17"/>
      <c r="R79" s="17"/>
      <c r="S79" s="17"/>
      <c r="T79" s="17"/>
    </row>
    <row r="80" spans="4:20" ht="16.5" x14ac:dyDescent="0.3">
      <c r="J80" s="19" t="s">
        <v>15</v>
      </c>
      <c r="K80" s="3">
        <f>K78-K79</f>
        <v>498.15120471282012</v>
      </c>
      <c r="N80" s="17"/>
      <c r="O80" s="17"/>
      <c r="P80" s="17"/>
      <c r="Q80" s="17"/>
      <c r="R80" s="17"/>
      <c r="S80" s="17"/>
      <c r="T80" s="17"/>
    </row>
    <row r="81" spans="10:20" ht="17.25" thickBot="1" x14ac:dyDescent="0.35">
      <c r="J81" s="21" t="s">
        <v>16</v>
      </c>
      <c r="K81" s="11">
        <f>K78-K79</f>
        <v>498.15120471282012</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99</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47116.8752762609</v>
      </c>
    </row>
    <row r="9" spans="1:15" ht="16.5" x14ac:dyDescent="0.3">
      <c r="B9" s="40" t="s">
        <v>57</v>
      </c>
      <c r="C9" s="58">
        <v>7.1</v>
      </c>
      <c r="F9" s="40" t="s">
        <v>47</v>
      </c>
      <c r="G9" s="8">
        <v>0.35</v>
      </c>
      <c r="J9" s="40" t="s">
        <v>62</v>
      </c>
      <c r="K9" s="3">
        <f>SUM(C22:C30)*C9*G11</f>
        <v>8493.1282562428696</v>
      </c>
    </row>
    <row r="10" spans="1:15" ht="16.5" x14ac:dyDescent="0.3">
      <c r="A10" s="32" t="s">
        <v>24</v>
      </c>
      <c r="B10" s="40" t="s">
        <v>80</v>
      </c>
      <c r="C10" s="60">
        <v>220.05431816556759</v>
      </c>
      <c r="F10" s="40" t="s">
        <v>69</v>
      </c>
      <c r="G10" s="8">
        <v>0.38</v>
      </c>
      <c r="J10" s="40" t="s">
        <v>63</v>
      </c>
      <c r="K10" s="3">
        <f>C16*C9*G10</f>
        <v>199.35552787189857</v>
      </c>
      <c r="N10" s="16" t="s">
        <v>13</v>
      </c>
      <c r="O10" s="16">
        <f>C11*G15*G38*G39*G41</f>
        <v>2606.8476137921484</v>
      </c>
    </row>
    <row r="11" spans="1:15" x14ac:dyDescent="0.3">
      <c r="B11" s="40" t="s">
        <v>163</v>
      </c>
      <c r="C11" s="52">
        <v>2109.9193973324172</v>
      </c>
      <c r="F11" s="40" t="s">
        <v>70</v>
      </c>
      <c r="G11" s="8">
        <v>0.38</v>
      </c>
      <c r="J11" s="40" t="s">
        <v>64</v>
      </c>
      <c r="K11" s="3">
        <f>C17*C9</f>
        <v>5731.8388518845122</v>
      </c>
      <c r="N11" s="18"/>
      <c r="O11" s="18"/>
    </row>
    <row r="12" spans="1:15" ht="17.25" thickBot="1" x14ac:dyDescent="0.35">
      <c r="B12" s="40" t="s">
        <v>58</v>
      </c>
      <c r="C12" s="52">
        <v>2992000</v>
      </c>
      <c r="F12" s="39" t="s">
        <v>48</v>
      </c>
      <c r="G12" s="10">
        <v>0.38</v>
      </c>
      <c r="J12" s="40" t="s">
        <v>65</v>
      </c>
      <c r="K12" s="3">
        <f>C18*C9*G9</f>
        <v>12703.7869189142</v>
      </c>
      <c r="N12" s="47" t="s">
        <v>81</v>
      </c>
      <c r="O12" s="16">
        <f>C10</f>
        <v>220.05431816556759</v>
      </c>
    </row>
    <row r="13" spans="1:15" ht="15.75" thickBot="1" x14ac:dyDescent="0.35">
      <c r="B13" s="39" t="s">
        <v>56</v>
      </c>
      <c r="C13" s="55">
        <v>1431.2227</v>
      </c>
      <c r="J13" s="39" t="s">
        <v>66</v>
      </c>
      <c r="K13" s="11">
        <f>C19*C9*G12</f>
        <v>2660.3400284586119</v>
      </c>
      <c r="N13" s="18"/>
      <c r="O13" s="18"/>
    </row>
    <row r="14" spans="1:15" ht="17.25" thickBot="1" x14ac:dyDescent="0.35">
      <c r="C14" s="54"/>
      <c r="F14" s="4" t="s">
        <v>59</v>
      </c>
      <c r="G14" s="5"/>
      <c r="J14" s="106"/>
      <c r="K14" s="106"/>
      <c r="N14" s="47" t="s">
        <v>82</v>
      </c>
      <c r="O14" s="16">
        <f>C9*C13</f>
        <v>10161.68117</v>
      </c>
    </row>
    <row r="15" spans="1:15" ht="17.25" thickBot="1" x14ac:dyDescent="0.35">
      <c r="B15" s="4" t="s">
        <v>51</v>
      </c>
      <c r="C15" s="5"/>
      <c r="F15" s="39" t="s">
        <v>71</v>
      </c>
      <c r="G15" s="41">
        <v>4.8</v>
      </c>
      <c r="J15" s="104" t="s">
        <v>61</v>
      </c>
      <c r="K15" s="103"/>
    </row>
    <row r="16" spans="1:15" ht="17.25" thickBot="1" x14ac:dyDescent="0.35">
      <c r="B16" s="40" t="s">
        <v>32</v>
      </c>
      <c r="C16" s="3">
        <v>73.890114111155881</v>
      </c>
      <c r="J16" s="42" t="s">
        <v>77</v>
      </c>
      <c r="K16" s="36">
        <f>C19*C33*G18*(1-G19)</f>
        <v>21473.026241565305</v>
      </c>
      <c r="N16" s="114" t="s">
        <v>93</v>
      </c>
      <c r="O16" s="115"/>
    </row>
    <row r="17" spans="2:21" ht="16.5" thickTop="1" thickBot="1" x14ac:dyDescent="0.35">
      <c r="B17" s="40" t="s">
        <v>40</v>
      </c>
      <c r="C17" s="3">
        <v>807.30124674429749</v>
      </c>
      <c r="F17" s="4" t="s">
        <v>29</v>
      </c>
      <c r="G17" s="5"/>
      <c r="J17" s="43" t="s">
        <v>78</v>
      </c>
      <c r="K17" s="7">
        <f>SUM(K32,K38,K44,K50,K56,K62,K69,K75,K81)</f>
        <v>134603.90988023378</v>
      </c>
      <c r="N17" s="108">
        <f>O8+O10+O12+O14</f>
        <v>60105.458378218609</v>
      </c>
      <c r="O17" s="108"/>
    </row>
    <row r="18" spans="2:21" ht="15.75" thickBot="1" x14ac:dyDescent="0.35">
      <c r="B18" s="40" t="s">
        <v>31</v>
      </c>
      <c r="C18" s="3">
        <v>5112.1878949352922</v>
      </c>
      <c r="F18" s="2" t="s">
        <v>1</v>
      </c>
      <c r="G18" s="8">
        <v>0.34</v>
      </c>
      <c r="J18" s="22"/>
      <c r="K18" s="22"/>
      <c r="N18" s="109"/>
      <c r="O18" s="109"/>
    </row>
    <row r="19" spans="2:21" ht="15.75" thickBot="1" x14ac:dyDescent="0.35">
      <c r="B19" s="39" t="s">
        <v>41</v>
      </c>
      <c r="C19" s="11">
        <v>986.04152277932246</v>
      </c>
      <c r="F19" s="6" t="s">
        <v>2</v>
      </c>
      <c r="G19" s="10">
        <v>0.39</v>
      </c>
      <c r="J19" s="110" t="s">
        <v>67</v>
      </c>
      <c r="K19" s="111"/>
    </row>
    <row r="20" spans="2:21" ht="17.25" thickBot="1" x14ac:dyDescent="0.35">
      <c r="C20" s="54"/>
      <c r="J20" s="2" t="s">
        <v>9</v>
      </c>
      <c r="K20" s="3">
        <f>C12*G23*(1-G24)</f>
        <v>80784</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v>
      </c>
      <c r="F22" s="40" t="s">
        <v>43</v>
      </c>
      <c r="G22" s="8">
        <v>0.39</v>
      </c>
      <c r="J22" s="22"/>
      <c r="K22" s="22"/>
      <c r="N22" s="40" t="s">
        <v>84</v>
      </c>
      <c r="O22" s="48">
        <f>SUM(K9:K13)*G40*G41/N17</f>
        <v>0.12563537776997205</v>
      </c>
      <c r="P22" s="17"/>
      <c r="Q22" s="17"/>
      <c r="R22" s="17"/>
      <c r="S22" s="29"/>
      <c r="T22" s="29"/>
      <c r="U22" s="13"/>
    </row>
    <row r="23" spans="2:21" ht="16.5" x14ac:dyDescent="0.35">
      <c r="B23" s="75" t="s">
        <v>34</v>
      </c>
      <c r="C23" s="52">
        <v>1511.0087335050325</v>
      </c>
      <c r="F23" s="40" t="s">
        <v>3</v>
      </c>
      <c r="G23" s="12">
        <v>5.3999999999999999E-2</v>
      </c>
      <c r="J23" s="22"/>
      <c r="K23" s="22"/>
      <c r="N23" s="40" t="s">
        <v>85</v>
      </c>
      <c r="O23" s="49">
        <f>K16*G40*G41/N17</f>
        <v>9.0564356368163443E-2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0</v>
      </c>
      <c r="P25" s="17"/>
      <c r="Q25" s="17"/>
      <c r="R25" s="17"/>
      <c r="S25" s="27"/>
      <c r="T25" s="27"/>
      <c r="U25" s="14"/>
    </row>
    <row r="26" spans="2:21" ht="16.5" x14ac:dyDescent="0.35">
      <c r="B26" s="75" t="s">
        <v>36</v>
      </c>
      <c r="C26" s="52">
        <v>47.219022922032266</v>
      </c>
      <c r="F26" s="2"/>
      <c r="G26" s="3"/>
      <c r="J26" s="107" t="s">
        <v>73</v>
      </c>
      <c r="K26" s="107"/>
      <c r="N26" s="40" t="s">
        <v>34</v>
      </c>
      <c r="O26" s="8">
        <f>K38*G40*G41/N17</f>
        <v>0.24314377330232995</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1274.9136188948714</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0</v>
      </c>
      <c r="N29" s="40" t="s">
        <v>36</v>
      </c>
      <c r="O29" s="8">
        <f>K56*G40*G41/N17</f>
        <v>6.4802534854707383E-3</v>
      </c>
      <c r="P29" s="17"/>
      <c r="Q29" s="17"/>
      <c r="R29" s="17"/>
      <c r="S29" s="27"/>
      <c r="T29" s="27"/>
      <c r="U29" s="14"/>
    </row>
    <row r="30" spans="2:21" ht="17.25" thickBot="1" x14ac:dyDescent="0.35">
      <c r="B30" s="39" t="s">
        <v>39</v>
      </c>
      <c r="C30" s="55">
        <v>314.79348614688183</v>
      </c>
      <c r="F30" s="42" t="s">
        <v>199</v>
      </c>
      <c r="G30" s="99">
        <v>1.8E-3</v>
      </c>
      <c r="J30" s="2" t="s">
        <v>7</v>
      </c>
      <c r="K30" s="3">
        <f>C46*G27*C22</f>
        <v>0</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0</v>
      </c>
      <c r="M31" s="17"/>
      <c r="N31" s="40" t="s">
        <v>87</v>
      </c>
      <c r="O31" s="8">
        <f>K69*G40*G41/N17</f>
        <v>0.29269572273790423</v>
      </c>
      <c r="P31" s="17"/>
      <c r="Q31" s="17"/>
      <c r="R31" s="17"/>
      <c r="S31" s="27"/>
      <c r="T31" s="27"/>
      <c r="U31" s="14"/>
    </row>
    <row r="32" spans="2:21" ht="17.25" thickBot="1" x14ac:dyDescent="0.35">
      <c r="B32" s="4" t="s">
        <v>72</v>
      </c>
      <c r="C32" s="5"/>
      <c r="F32" s="40" t="s">
        <v>201</v>
      </c>
      <c r="G32" s="99">
        <v>1.6585714285714283E-2</v>
      </c>
      <c r="J32" s="6" t="s">
        <v>11</v>
      </c>
      <c r="K32" s="11">
        <f>K31</f>
        <v>0</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2.5383951191843272E-2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233298.64247516982</v>
      </c>
      <c r="N35" s="42" t="s">
        <v>89</v>
      </c>
      <c r="O35" s="8">
        <f>O10/N17</f>
        <v>4.3371229238255572E-2</v>
      </c>
      <c r="P35" s="17"/>
      <c r="Q35" s="17"/>
      <c r="R35" s="17"/>
      <c r="S35" s="17"/>
      <c r="T35" s="17"/>
    </row>
    <row r="36" spans="2:20" ht="17.25" thickBot="1" x14ac:dyDescent="0.35">
      <c r="B36" s="75" t="s">
        <v>34</v>
      </c>
      <c r="C36" s="52">
        <v>154.39926805320005</v>
      </c>
      <c r="J36" s="2" t="s">
        <v>7</v>
      </c>
      <c r="K36" s="3">
        <f>C47*G28*C23</f>
        <v>175648.67030102303</v>
      </c>
      <c r="N36" s="42" t="s">
        <v>90</v>
      </c>
      <c r="O36" s="8">
        <f>O12/N17</f>
        <v>3.6611370099011217E-3</v>
      </c>
      <c r="P36" s="17"/>
      <c r="Q36" s="17"/>
      <c r="R36" s="17"/>
      <c r="S36" s="17"/>
      <c r="T36" s="17"/>
    </row>
    <row r="37" spans="2:20" ht="16.5" x14ac:dyDescent="0.3">
      <c r="B37" s="75" t="s">
        <v>35</v>
      </c>
      <c r="C37" s="52">
        <v>132.34222975988575</v>
      </c>
      <c r="F37" s="4" t="s">
        <v>30</v>
      </c>
      <c r="G37" s="15"/>
      <c r="H37" s="35"/>
      <c r="J37" s="2" t="s">
        <v>8</v>
      </c>
      <c r="K37" s="36">
        <f>K35-K36</f>
        <v>57649.972174146795</v>
      </c>
      <c r="N37" s="42" t="s">
        <v>91</v>
      </c>
      <c r="O37" s="8">
        <f>O14/N17</f>
        <v>0.1690641988961597</v>
      </c>
      <c r="P37" s="17"/>
      <c r="Q37" s="17"/>
      <c r="R37" s="17"/>
      <c r="S37" s="17"/>
      <c r="T37" s="17"/>
    </row>
    <row r="38" spans="2:20" ht="18" thickBot="1" x14ac:dyDescent="0.4">
      <c r="B38" s="40" t="s">
        <v>54</v>
      </c>
      <c r="C38" s="36">
        <v>70</v>
      </c>
      <c r="F38" s="40" t="s">
        <v>68</v>
      </c>
      <c r="G38" s="8">
        <v>0.6</v>
      </c>
      <c r="H38" s="33"/>
      <c r="J38" s="6" t="s">
        <v>11</v>
      </c>
      <c r="K38" s="11">
        <f>K37</f>
        <v>57649.972174146795</v>
      </c>
      <c r="N38" s="50" t="s">
        <v>92</v>
      </c>
      <c r="O38" s="51">
        <f>SUM(O22:O37)</f>
        <v>1</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93.742412746585728</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4672.6450331125816</v>
      </c>
      <c r="H46" s="34"/>
      <c r="J46" s="104" t="s">
        <v>23</v>
      </c>
      <c r="K46" s="103"/>
      <c r="N46" s="17"/>
      <c r="O46" s="17"/>
      <c r="P46" s="17"/>
      <c r="Q46" s="17"/>
      <c r="R46" s="17"/>
      <c r="S46" s="17"/>
      <c r="T46" s="17"/>
    </row>
    <row r="47" spans="2:20" ht="16.5" x14ac:dyDescent="0.3">
      <c r="B47" s="75" t="s">
        <v>34</v>
      </c>
      <c r="C47" s="52">
        <v>8210.082119205299</v>
      </c>
      <c r="H47" s="34"/>
      <c r="J47" s="40" t="s">
        <v>75</v>
      </c>
      <c r="K47" s="3">
        <f>C25*C38</f>
        <v>0</v>
      </c>
      <c r="N47" s="17"/>
      <c r="O47" s="17"/>
      <c r="P47" s="17"/>
      <c r="Q47" s="17"/>
      <c r="R47" s="17"/>
      <c r="S47" s="17"/>
      <c r="T47" s="17"/>
    </row>
    <row r="48" spans="2:20" ht="16.5" x14ac:dyDescent="0.3">
      <c r="B48" s="75" t="s">
        <v>35</v>
      </c>
      <c r="C48" s="52">
        <v>46739.900662251654</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2465.8940397350989</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6091.2539569421624</v>
      </c>
      <c r="M53"/>
      <c r="N53" s="17"/>
      <c r="O53" s="17"/>
      <c r="P53" s="17"/>
      <c r="Q53" s="17"/>
      <c r="R53" s="17"/>
      <c r="S53" s="17"/>
      <c r="T53" s="17"/>
    </row>
    <row r="54" spans="2:20" ht="17.25" thickBot="1" x14ac:dyDescent="0.35">
      <c r="B54" s="39" t="s">
        <v>39</v>
      </c>
      <c r="C54" s="55">
        <v>3973.900331125828</v>
      </c>
      <c r="D54" s="28"/>
      <c r="E54"/>
      <c r="H54" s="34"/>
      <c r="J54" s="2" t="s">
        <v>7</v>
      </c>
      <c r="K54" s="3">
        <f>C50*G31*C26</f>
        <v>4554.7703034854858</v>
      </c>
      <c r="M54"/>
      <c r="N54" s="17"/>
      <c r="O54" s="17"/>
      <c r="P54" s="17"/>
      <c r="Q54" s="17"/>
      <c r="R54" s="17"/>
      <c r="S54" s="17"/>
      <c r="T54" s="17"/>
    </row>
    <row r="55" spans="2:20" ht="16.5" x14ac:dyDescent="0.3">
      <c r="D55" s="28"/>
      <c r="E55"/>
      <c r="H55" s="34"/>
      <c r="J55" s="2" t="s">
        <v>8</v>
      </c>
      <c r="K55" s="3">
        <f>K53-K54</f>
        <v>1536.4836534566766</v>
      </c>
      <c r="M55"/>
      <c r="N55" s="17"/>
      <c r="O55" s="17"/>
      <c r="P55" s="17"/>
      <c r="Q55" s="17"/>
      <c r="R55" s="17"/>
      <c r="S55" s="17"/>
      <c r="T55" s="17"/>
    </row>
    <row r="56" spans="2:20" ht="17.25" thickBot="1" x14ac:dyDescent="0.35">
      <c r="B56" s="27"/>
      <c r="C56" s="27"/>
      <c r="D56" s="28"/>
      <c r="E56"/>
      <c r="H56" s="34"/>
      <c r="J56" s="6" t="s">
        <v>11</v>
      </c>
      <c r="K56" s="11">
        <f>K55</f>
        <v>1536.4836534566766</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254982.72377897429</v>
      </c>
      <c r="N66" s="17"/>
      <c r="O66" s="17"/>
      <c r="P66" s="30"/>
      <c r="Q66" s="30"/>
      <c r="R66" s="17"/>
      <c r="S66" s="17"/>
      <c r="T66" s="17"/>
    </row>
    <row r="67" spans="4:20" ht="16.5" x14ac:dyDescent="0.3">
      <c r="F67" s="20"/>
      <c r="G67" s="31"/>
      <c r="H67" s="20"/>
      <c r="J67" s="2" t="s">
        <v>7</v>
      </c>
      <c r="K67" s="3">
        <f>C52*G33*C28</f>
        <v>185583.86547323182</v>
      </c>
      <c r="N67" s="17"/>
      <c r="O67" s="17"/>
      <c r="P67" s="30"/>
      <c r="Q67" s="30"/>
      <c r="R67" s="17"/>
      <c r="S67" s="17"/>
      <c r="T67" s="17"/>
    </row>
    <row r="68" spans="4:20" ht="16.5" x14ac:dyDescent="0.3">
      <c r="F68" s="26"/>
      <c r="G68" s="22"/>
      <c r="H68" s="26"/>
      <c r="J68" s="2" t="s">
        <v>8</v>
      </c>
      <c r="K68" s="3">
        <f>(K65+K66)-K67</f>
        <v>69398.858305742469</v>
      </c>
      <c r="N68" s="17"/>
      <c r="O68" s="17"/>
      <c r="P68" s="30"/>
      <c r="Q68" s="30"/>
      <c r="R68" s="17"/>
      <c r="S68" s="17"/>
      <c r="T68" s="17"/>
    </row>
    <row r="69" spans="4:20" ht="17.25" thickBot="1" x14ac:dyDescent="0.35">
      <c r="F69" s="26"/>
      <c r="G69" s="22"/>
      <c r="H69" s="26"/>
      <c r="J69" s="6" t="s">
        <v>11</v>
      </c>
      <c r="K69" s="11">
        <f>K68</f>
        <v>69398.858305742469</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29509.500908317612</v>
      </c>
      <c r="N78" s="17"/>
      <c r="O78" s="17"/>
      <c r="P78" s="17"/>
      <c r="Q78" s="17"/>
      <c r="R78" s="17"/>
      <c r="S78" s="17"/>
      <c r="T78" s="17"/>
    </row>
    <row r="79" spans="4:20" ht="16.5" x14ac:dyDescent="0.3">
      <c r="J79" s="19" t="s">
        <v>14</v>
      </c>
      <c r="K79" s="3">
        <f>C54*G35*C30</f>
        <v>23490.905161429768</v>
      </c>
      <c r="N79" s="17"/>
      <c r="O79" s="17"/>
      <c r="P79" s="17"/>
      <c r="Q79" s="17"/>
      <c r="R79" s="17"/>
      <c r="S79" s="17"/>
      <c r="T79" s="17"/>
    </row>
    <row r="80" spans="4:20" ht="16.5" x14ac:dyDescent="0.3">
      <c r="J80" s="19" t="s">
        <v>15</v>
      </c>
      <c r="K80" s="3">
        <f>K78-K79</f>
        <v>6018.5957468878441</v>
      </c>
      <c r="N80" s="17"/>
      <c r="O80" s="17"/>
      <c r="P80" s="17"/>
      <c r="Q80" s="17"/>
      <c r="R80" s="17"/>
      <c r="S80" s="17"/>
      <c r="T80" s="17"/>
    </row>
    <row r="81" spans="10:20" ht="17.25" thickBot="1" x14ac:dyDescent="0.35">
      <c r="J81" s="21" t="s">
        <v>16</v>
      </c>
      <c r="K81" s="11">
        <f>K78-K79</f>
        <v>6018.5957468878441</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100</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77155.466132067071</v>
      </c>
    </row>
    <row r="9" spans="1:15" ht="16.5" x14ac:dyDescent="0.3">
      <c r="B9" s="40" t="s">
        <v>57</v>
      </c>
      <c r="C9" s="58">
        <v>7.1</v>
      </c>
      <c r="F9" s="40" t="s">
        <v>47</v>
      </c>
      <c r="G9" s="8">
        <v>0.35</v>
      </c>
      <c r="J9" s="40" t="s">
        <v>62</v>
      </c>
      <c r="K9" s="3">
        <f>SUM(C22:C30)*C9*G11</f>
        <v>15345.033597886271</v>
      </c>
    </row>
    <row r="10" spans="1:15" ht="16.5" x14ac:dyDescent="0.3">
      <c r="A10" s="32" t="s">
        <v>24</v>
      </c>
      <c r="B10" s="40" t="s">
        <v>80</v>
      </c>
      <c r="C10" s="52">
        <v>0</v>
      </c>
      <c r="F10" s="40" t="s">
        <v>69</v>
      </c>
      <c r="G10" s="8">
        <v>0.38</v>
      </c>
      <c r="J10" s="40" t="s">
        <v>63</v>
      </c>
      <c r="K10" s="3">
        <f>C16*C9*G10</f>
        <v>1259.0236443554129</v>
      </c>
      <c r="N10" s="16" t="s">
        <v>13</v>
      </c>
      <c r="O10" s="16">
        <f>C11*G15*G38*G39*G41</f>
        <v>2976.8316589543738</v>
      </c>
    </row>
    <row r="11" spans="1:15" x14ac:dyDescent="0.3">
      <c r="B11" s="40" t="s">
        <v>163</v>
      </c>
      <c r="C11" s="52">
        <v>2409.3755333417298</v>
      </c>
      <c r="F11" s="40" t="s">
        <v>70</v>
      </c>
      <c r="G11" s="8">
        <v>0.38</v>
      </c>
      <c r="J11" s="40" t="s">
        <v>64</v>
      </c>
      <c r="K11" s="3">
        <f>C17*C9</f>
        <v>4290.2526255911498</v>
      </c>
      <c r="N11" s="18"/>
      <c r="O11" s="18"/>
    </row>
    <row r="12" spans="1:15" ht="17.25" thickBot="1" x14ac:dyDescent="0.35">
      <c r="B12" s="40" t="s">
        <v>58</v>
      </c>
      <c r="C12" s="52">
        <v>5104000</v>
      </c>
      <c r="F12" s="39" t="s">
        <v>48</v>
      </c>
      <c r="G12" s="10">
        <v>0.38</v>
      </c>
      <c r="J12" s="40" t="s">
        <v>65</v>
      </c>
      <c r="K12" s="3">
        <f>C18*C9*G9</f>
        <v>23535.396796558191</v>
      </c>
      <c r="N12" s="47" t="s">
        <v>81</v>
      </c>
      <c r="O12" s="16">
        <f>C10</f>
        <v>0</v>
      </c>
    </row>
    <row r="13" spans="1:15" ht="15.75" thickBot="1" x14ac:dyDescent="0.35">
      <c r="B13" s="39" t="s">
        <v>56</v>
      </c>
      <c r="C13" s="55">
        <v>25864.644115103449</v>
      </c>
      <c r="J13" s="39" t="s">
        <v>66</v>
      </c>
      <c r="K13" s="11">
        <f>C19*C9*G12</f>
        <v>1844.706388846301</v>
      </c>
      <c r="N13" s="18"/>
      <c r="O13" s="18"/>
    </row>
    <row r="14" spans="1:15" ht="17.25" thickBot="1" x14ac:dyDescent="0.35">
      <c r="C14" s="54"/>
      <c r="F14" s="4" t="s">
        <v>59</v>
      </c>
      <c r="G14" s="5"/>
      <c r="J14" s="106"/>
      <c r="K14" s="106"/>
      <c r="N14" s="47" t="s">
        <v>82</v>
      </c>
      <c r="O14" s="16">
        <f>C9*C13</f>
        <v>183638.97321723448</v>
      </c>
    </row>
    <row r="15" spans="1:15" ht="17.25" thickBot="1" x14ac:dyDescent="0.35">
      <c r="B15" s="4" t="s">
        <v>51</v>
      </c>
      <c r="C15" s="5"/>
      <c r="F15" s="39" t="s">
        <v>71</v>
      </c>
      <c r="G15" s="41">
        <v>4.8</v>
      </c>
      <c r="J15" s="104" t="s">
        <v>61</v>
      </c>
      <c r="K15" s="103"/>
    </row>
    <row r="16" spans="1:15" ht="17.25" thickBot="1" x14ac:dyDescent="0.35">
      <c r="B16" s="40" t="s">
        <v>32</v>
      </c>
      <c r="C16" s="3">
        <v>466.65072066546071</v>
      </c>
      <c r="J16" s="42" t="s">
        <v>77</v>
      </c>
      <c r="K16" s="36">
        <f>C19*C33*G18*(1-G19)</f>
        <v>14889.611204561121</v>
      </c>
      <c r="N16" s="114" t="s">
        <v>93</v>
      </c>
      <c r="O16" s="115"/>
    </row>
    <row r="17" spans="2:21" ht="16.5" thickTop="1" thickBot="1" x14ac:dyDescent="0.35">
      <c r="B17" s="40" t="s">
        <v>40</v>
      </c>
      <c r="C17" s="3">
        <v>604.26093318185212</v>
      </c>
      <c r="F17" s="4" t="s">
        <v>29</v>
      </c>
      <c r="G17" s="5"/>
      <c r="J17" s="43" t="s">
        <v>78</v>
      </c>
      <c r="K17" s="7">
        <f>SUM(K32,K38,K44,K50,K56,K62,K69,K75,K81)</f>
        <v>243196.78888645035</v>
      </c>
      <c r="N17" s="108">
        <f>O8+O10+O12+O14</f>
        <v>263771.27100825589</v>
      </c>
      <c r="O17" s="108"/>
    </row>
    <row r="18" spans="2:21" ht="15.75" thickBot="1" x14ac:dyDescent="0.35">
      <c r="B18" s="40" t="s">
        <v>31</v>
      </c>
      <c r="C18" s="3">
        <v>9470.9846263815671</v>
      </c>
      <c r="F18" s="2" t="s">
        <v>1</v>
      </c>
      <c r="G18" s="8">
        <v>0.34</v>
      </c>
      <c r="J18" s="22"/>
      <c r="K18" s="22"/>
      <c r="N18" s="109"/>
      <c r="O18" s="109"/>
    </row>
    <row r="19" spans="2:21" ht="15.75" thickBot="1" x14ac:dyDescent="0.35">
      <c r="B19" s="39" t="s">
        <v>41</v>
      </c>
      <c r="C19" s="11">
        <v>683.73105591041553</v>
      </c>
      <c r="F19" s="6" t="s">
        <v>2</v>
      </c>
      <c r="G19" s="10">
        <v>0.39</v>
      </c>
      <c r="J19" s="110" t="s">
        <v>67</v>
      </c>
      <c r="K19" s="111"/>
    </row>
    <row r="20" spans="2:21" ht="17.25" thickBot="1" x14ac:dyDescent="0.35">
      <c r="C20" s="54"/>
      <c r="J20" s="2" t="s">
        <v>9</v>
      </c>
      <c r="K20" s="3">
        <f>C12*G23*(1-G24)</f>
        <v>137808</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v>
      </c>
      <c r="F22" s="40" t="s">
        <v>43</v>
      </c>
      <c r="G22" s="8">
        <v>0.39</v>
      </c>
      <c r="J22" s="22"/>
      <c r="K22" s="22"/>
      <c r="N22" s="40" t="s">
        <v>84</v>
      </c>
      <c r="O22" s="48">
        <f>SUM(K9:K13)*G40*G41/N17</f>
        <v>4.447248430109927E-2</v>
      </c>
      <c r="P22" s="17"/>
      <c r="Q22" s="17"/>
      <c r="R22" s="17"/>
      <c r="S22" s="29"/>
      <c r="T22" s="29"/>
      <c r="U22" s="13"/>
    </row>
    <row r="23" spans="2:21" ht="16.5" x14ac:dyDescent="0.35">
      <c r="B23" s="75" t="s">
        <v>34</v>
      </c>
      <c r="C23" s="52">
        <v>2730.0282160805823</v>
      </c>
      <c r="F23" s="40" t="s">
        <v>3</v>
      </c>
      <c r="G23" s="12">
        <v>5.3999999999999999E-2</v>
      </c>
      <c r="J23" s="22"/>
      <c r="K23" s="22"/>
      <c r="N23" s="40" t="s">
        <v>85</v>
      </c>
      <c r="O23" s="49">
        <f>K16*G40*G41/N17</f>
        <v>1.4309808744251393E-2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0</v>
      </c>
      <c r="P25" s="17"/>
      <c r="Q25" s="17"/>
      <c r="R25" s="17"/>
      <c r="S25" s="27"/>
      <c r="T25" s="27"/>
      <c r="U25" s="14"/>
    </row>
    <row r="26" spans="2:21" ht="16.5" x14ac:dyDescent="0.35">
      <c r="B26" s="75" t="s">
        <v>36</v>
      </c>
      <c r="C26" s="52">
        <v>85.313381752518197</v>
      </c>
      <c r="F26" s="2"/>
      <c r="G26" s="3"/>
      <c r="J26" s="107" t="s">
        <v>73</v>
      </c>
      <c r="K26" s="107"/>
      <c r="N26" s="40" t="s">
        <v>34</v>
      </c>
      <c r="O26" s="8">
        <f>K38*G40*G41/N17</f>
        <v>0.10010360890280572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2303.4613073179912</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0</v>
      </c>
      <c r="N29" s="40" t="s">
        <v>36</v>
      </c>
      <c r="O29" s="8">
        <f>K56*G40*G41/N17</f>
        <v>2.6679554721477619E-3</v>
      </c>
      <c r="P29" s="17"/>
      <c r="Q29" s="17"/>
      <c r="R29" s="17"/>
      <c r="S29" s="27"/>
      <c r="T29" s="27"/>
      <c r="U29" s="14"/>
    </row>
    <row r="30" spans="2:21" ht="17.25" thickBot="1" x14ac:dyDescent="0.35">
      <c r="B30" s="39" t="s">
        <v>39</v>
      </c>
      <c r="C30" s="55">
        <v>568.75587835012129</v>
      </c>
      <c r="F30" s="42" t="s">
        <v>199</v>
      </c>
      <c r="G30" s="99">
        <v>1.8E-3</v>
      </c>
      <c r="J30" s="2" t="s">
        <v>7</v>
      </c>
      <c r="K30" s="3">
        <f>C46*G27*C22</f>
        <v>0</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0</v>
      </c>
      <c r="M31" s="17"/>
      <c r="N31" s="40" t="s">
        <v>87</v>
      </c>
      <c r="O31" s="8">
        <f>K69*G40*G41/N17</f>
        <v>0.12050441497445673</v>
      </c>
      <c r="P31" s="17"/>
      <c r="Q31" s="17"/>
      <c r="R31" s="17"/>
      <c r="S31" s="27"/>
      <c r="T31" s="27"/>
      <c r="U31" s="14"/>
    </row>
    <row r="32" spans="2:21" ht="17.25" thickBot="1" x14ac:dyDescent="0.35">
      <c r="B32" s="4" t="s">
        <v>72</v>
      </c>
      <c r="C32" s="5"/>
      <c r="F32" s="40" t="s">
        <v>201</v>
      </c>
      <c r="G32" s="99">
        <v>1.6585714285714283E-2</v>
      </c>
      <c r="J32" s="6" t="s">
        <v>11</v>
      </c>
      <c r="K32" s="11">
        <f>K31</f>
        <v>0</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1.0450710244414218E-2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421514.35832742538</v>
      </c>
      <c r="N35" s="42" t="s">
        <v>89</v>
      </c>
      <c r="O35" s="8">
        <f>O10/N17</f>
        <v>1.128565536184265E-2</v>
      </c>
      <c r="P35" s="17"/>
      <c r="Q35" s="17"/>
      <c r="R35" s="17"/>
      <c r="S35" s="17"/>
      <c r="T35" s="17"/>
    </row>
    <row r="36" spans="2:20" ht="17.25" thickBot="1" x14ac:dyDescent="0.35">
      <c r="B36" s="75" t="s">
        <v>34</v>
      </c>
      <c r="C36" s="52">
        <v>154.39926805320005</v>
      </c>
      <c r="J36" s="2" t="s">
        <v>7</v>
      </c>
      <c r="K36" s="3">
        <f>C47*G28*C23</f>
        <v>317354.76798104896</v>
      </c>
      <c r="N36" s="42" t="s">
        <v>90</v>
      </c>
      <c r="O36" s="8">
        <f>O12/N17</f>
        <v>0</v>
      </c>
      <c r="P36" s="17"/>
      <c r="Q36" s="17"/>
      <c r="R36" s="17"/>
      <c r="S36" s="17"/>
      <c r="T36" s="17"/>
    </row>
    <row r="37" spans="2:20" ht="16.5" x14ac:dyDescent="0.3">
      <c r="B37" s="75" t="s">
        <v>35</v>
      </c>
      <c r="C37" s="52">
        <v>132.34222975988575</v>
      </c>
      <c r="F37" s="4" t="s">
        <v>30</v>
      </c>
      <c r="G37" s="15"/>
      <c r="H37" s="35"/>
      <c r="J37" s="2" t="s">
        <v>8</v>
      </c>
      <c r="K37" s="36">
        <f>K35-K36</f>
        <v>104159.59034637641</v>
      </c>
      <c r="N37" s="42" t="s">
        <v>91</v>
      </c>
      <c r="O37" s="8">
        <f>O14/N17</f>
        <v>0.69620536199898242</v>
      </c>
      <c r="P37" s="17"/>
      <c r="Q37" s="17"/>
      <c r="R37" s="17"/>
      <c r="S37" s="17"/>
      <c r="T37" s="17"/>
    </row>
    <row r="38" spans="2:20" ht="18" thickBot="1" x14ac:dyDescent="0.4">
      <c r="B38" s="40" t="s">
        <v>54</v>
      </c>
      <c r="C38" s="36">
        <v>70</v>
      </c>
      <c r="F38" s="40" t="s">
        <v>68</v>
      </c>
      <c r="G38" s="8">
        <v>0.6</v>
      </c>
      <c r="H38" s="33"/>
      <c r="J38" s="6" t="s">
        <v>11</v>
      </c>
      <c r="K38" s="11">
        <f>K37</f>
        <v>104159.59034637641</v>
      </c>
      <c r="N38" s="50" t="s">
        <v>92</v>
      </c>
      <c r="O38" s="51">
        <f>SUM(O22:O37)</f>
        <v>1.0000000000000002</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93.742412746585728</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4672.6450331125816</v>
      </c>
      <c r="H46" s="34"/>
      <c r="J46" s="104" t="s">
        <v>23</v>
      </c>
      <c r="K46" s="103"/>
      <c r="N46" s="17"/>
      <c r="O46" s="17"/>
      <c r="P46" s="17"/>
      <c r="Q46" s="17"/>
      <c r="R46" s="17"/>
      <c r="S46" s="17"/>
      <c r="T46" s="17"/>
    </row>
    <row r="47" spans="2:20" ht="16.5" x14ac:dyDescent="0.3">
      <c r="B47" s="75" t="s">
        <v>34</v>
      </c>
      <c r="C47" s="52">
        <v>8210.082119205299</v>
      </c>
      <c r="H47" s="34"/>
      <c r="J47" s="40" t="s">
        <v>75</v>
      </c>
      <c r="K47" s="3">
        <f>C25*C38</f>
        <v>0</v>
      </c>
      <c r="N47" s="17"/>
      <c r="O47" s="17"/>
      <c r="P47" s="17"/>
      <c r="Q47" s="17"/>
      <c r="R47" s="17"/>
      <c r="S47" s="17"/>
      <c r="T47" s="17"/>
    </row>
    <row r="48" spans="2:20" ht="16.5" x14ac:dyDescent="0.3">
      <c r="B48" s="75" t="s">
        <v>35</v>
      </c>
      <c r="C48" s="52">
        <v>46739.900662251654</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2465.8940397350989</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11005.426246074847</v>
      </c>
      <c r="M53"/>
      <c r="N53" s="17"/>
      <c r="O53" s="17"/>
      <c r="P53" s="17"/>
      <c r="Q53" s="17"/>
      <c r="R53" s="17"/>
      <c r="S53" s="17"/>
      <c r="T53" s="17"/>
    </row>
    <row r="54" spans="2:20" ht="17.25" thickBot="1" x14ac:dyDescent="0.35">
      <c r="B54" s="39" t="s">
        <v>39</v>
      </c>
      <c r="C54" s="55">
        <v>3973.900331125828</v>
      </c>
      <c r="D54" s="28"/>
      <c r="E54"/>
      <c r="H54" s="34"/>
      <c r="J54" s="2" t="s">
        <v>7</v>
      </c>
      <c r="K54" s="3">
        <f>C50*G31*C26</f>
        <v>8229.3709960478391</v>
      </c>
      <c r="M54"/>
      <c r="N54" s="17"/>
      <c r="O54" s="17"/>
      <c r="P54" s="17"/>
      <c r="Q54" s="17"/>
      <c r="R54" s="17"/>
      <c r="S54" s="17"/>
      <c r="T54" s="17"/>
    </row>
    <row r="55" spans="2:20" ht="16.5" x14ac:dyDescent="0.3">
      <c r="D55" s="28"/>
      <c r="E55"/>
      <c r="H55" s="34"/>
      <c r="J55" s="2" t="s">
        <v>8</v>
      </c>
      <c r="K55" s="3">
        <f>K53-K54</f>
        <v>2776.0552500270078</v>
      </c>
      <c r="M55"/>
      <c r="N55" s="17"/>
      <c r="O55" s="17"/>
      <c r="P55" s="17"/>
      <c r="Q55" s="17"/>
      <c r="R55" s="17"/>
      <c r="S55" s="17"/>
      <c r="T55" s="17"/>
    </row>
    <row r="56" spans="2:20" ht="17.25" thickBot="1" x14ac:dyDescent="0.35">
      <c r="B56" s="27"/>
      <c r="C56" s="27"/>
      <c r="D56" s="28"/>
      <c r="E56"/>
      <c r="H56" s="34"/>
      <c r="J56" s="6" t="s">
        <v>11</v>
      </c>
      <c r="K56" s="11">
        <f>K55</f>
        <v>2776.0552500270078</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460692.26146359823</v>
      </c>
      <c r="N66" s="17"/>
      <c r="O66" s="17"/>
      <c r="P66" s="30"/>
      <c r="Q66" s="30"/>
      <c r="R66" s="17"/>
      <c r="S66" s="17"/>
      <c r="T66" s="17"/>
    </row>
    <row r="67" spans="4:20" ht="16.5" x14ac:dyDescent="0.3">
      <c r="F67" s="20"/>
      <c r="G67" s="31"/>
      <c r="H67" s="20"/>
      <c r="J67" s="2" t="s">
        <v>7</v>
      </c>
      <c r="K67" s="3">
        <f>C52*G33*C28</f>
        <v>335305.26856451045</v>
      </c>
      <c r="N67" s="17"/>
      <c r="O67" s="17"/>
      <c r="P67" s="30"/>
      <c r="Q67" s="30"/>
      <c r="R67" s="17"/>
      <c r="S67" s="17"/>
      <c r="T67" s="17"/>
    </row>
    <row r="68" spans="4:20" ht="16.5" x14ac:dyDescent="0.3">
      <c r="F68" s="26"/>
      <c r="G68" s="22"/>
      <c r="H68" s="26"/>
      <c r="J68" s="2" t="s">
        <v>8</v>
      </c>
      <c r="K68" s="3">
        <f>(K65+K66)-K67</f>
        <v>125386.99289908778</v>
      </c>
      <c r="N68" s="17"/>
      <c r="O68" s="17"/>
      <c r="P68" s="30"/>
      <c r="Q68" s="30"/>
      <c r="R68" s="17"/>
      <c r="S68" s="17"/>
      <c r="T68" s="17"/>
    </row>
    <row r="69" spans="4:20" ht="17.25" thickBot="1" x14ac:dyDescent="0.35">
      <c r="F69" s="26"/>
      <c r="G69" s="22"/>
      <c r="H69" s="26"/>
      <c r="J69" s="6" t="s">
        <v>11</v>
      </c>
      <c r="K69" s="11">
        <f>K68</f>
        <v>125386.99289908778</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53316.548300343973</v>
      </c>
      <c r="N78" s="17"/>
      <c r="O78" s="17"/>
      <c r="P78" s="17"/>
      <c r="Q78" s="17"/>
      <c r="R78" s="17"/>
      <c r="S78" s="17"/>
      <c r="T78" s="17"/>
    </row>
    <row r="79" spans="4:20" ht="16.5" x14ac:dyDescent="0.3">
      <c r="J79" s="19" t="s">
        <v>14</v>
      </c>
      <c r="K79" s="3">
        <f>C54*G35*C30</f>
        <v>42442.397909384847</v>
      </c>
      <c r="N79" s="17"/>
      <c r="O79" s="17"/>
      <c r="P79" s="17"/>
      <c r="Q79" s="17"/>
      <c r="R79" s="17"/>
      <c r="S79" s="17"/>
      <c r="T79" s="17"/>
    </row>
    <row r="80" spans="4:20" ht="16.5" x14ac:dyDescent="0.3">
      <c r="J80" s="19" t="s">
        <v>15</v>
      </c>
      <c r="K80" s="3">
        <f>K78-K79</f>
        <v>10874.150390959127</v>
      </c>
      <c r="N80" s="17"/>
      <c r="O80" s="17"/>
      <c r="P80" s="17"/>
      <c r="Q80" s="17"/>
      <c r="R80" s="17"/>
      <c r="S80" s="17"/>
      <c r="T80" s="17"/>
    </row>
    <row r="81" spans="10:20" ht="17.25" thickBot="1" x14ac:dyDescent="0.35">
      <c r="J81" s="21" t="s">
        <v>16</v>
      </c>
      <c r="K81" s="11">
        <f>K78-K79</f>
        <v>10874.150390959127</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U86"/>
  <sheetViews>
    <sheetView zoomScale="70" zoomScaleNormal="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101</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21411.316449719496</v>
      </c>
    </row>
    <row r="9" spans="1:15" ht="16.5" x14ac:dyDescent="0.3">
      <c r="B9" s="40" t="s">
        <v>57</v>
      </c>
      <c r="C9" s="58">
        <v>6.2</v>
      </c>
      <c r="F9" s="40" t="s">
        <v>47</v>
      </c>
      <c r="G9" s="8">
        <v>0.35</v>
      </c>
      <c r="J9" s="40" t="s">
        <v>62</v>
      </c>
      <c r="K9" s="3">
        <f>SUM(C22:C30)*C9*G11</f>
        <v>3445.8673615766734</v>
      </c>
    </row>
    <row r="10" spans="1:15" ht="16.5" x14ac:dyDescent="0.3">
      <c r="A10" s="32" t="s">
        <v>24</v>
      </c>
      <c r="B10" s="40" t="s">
        <v>80</v>
      </c>
      <c r="C10" s="52">
        <v>0</v>
      </c>
      <c r="F10" s="40" t="s">
        <v>69</v>
      </c>
      <c r="G10" s="8">
        <v>0.38</v>
      </c>
      <c r="J10" s="40" t="s">
        <v>63</v>
      </c>
      <c r="K10" s="3">
        <f>C16*C9*G10</f>
        <v>190.2001737329565</v>
      </c>
      <c r="N10" s="16" t="s">
        <v>13</v>
      </c>
      <c r="O10" s="16">
        <f>C11*G15*G38*G39*G41</f>
        <v>6197.3549407420896</v>
      </c>
    </row>
    <row r="11" spans="1:15" x14ac:dyDescent="0.3">
      <c r="B11" s="40" t="s">
        <v>163</v>
      </c>
      <c r="C11" s="52">
        <v>5015.9891711522996</v>
      </c>
      <c r="F11" s="40" t="s">
        <v>70</v>
      </c>
      <c r="G11" s="8">
        <v>0.38</v>
      </c>
      <c r="J11" s="40" t="s">
        <v>64</v>
      </c>
      <c r="K11" s="3">
        <f>C17*C9</f>
        <v>1618.7604999099535</v>
      </c>
      <c r="N11" s="18"/>
      <c r="O11" s="18"/>
    </row>
    <row r="12" spans="1:15" ht="17.25" thickBot="1" x14ac:dyDescent="0.35">
      <c r="B12" s="40" t="s">
        <v>58</v>
      </c>
      <c r="C12" s="52">
        <v>880000</v>
      </c>
      <c r="F12" s="39" t="s">
        <v>48</v>
      </c>
      <c r="G12" s="10">
        <v>0.38</v>
      </c>
      <c r="J12" s="40" t="s">
        <v>65</v>
      </c>
      <c r="K12" s="3">
        <f>C18*C9*G9</f>
        <v>4160.4823251822154</v>
      </c>
      <c r="N12" s="47" t="s">
        <v>81</v>
      </c>
      <c r="O12" s="16">
        <f>C10</f>
        <v>0</v>
      </c>
    </row>
    <row r="13" spans="1:15" ht="15.75" thickBot="1" x14ac:dyDescent="0.35">
      <c r="B13" s="39" t="s">
        <v>56</v>
      </c>
      <c r="C13" s="55">
        <v>0</v>
      </c>
      <c r="J13" s="39" t="s">
        <v>66</v>
      </c>
      <c r="K13" s="11">
        <f>C19*C9*G12</f>
        <v>613.2206270186291</v>
      </c>
      <c r="N13" s="18"/>
      <c r="O13" s="18"/>
    </row>
    <row r="14" spans="1:15" ht="17.25" thickBot="1" x14ac:dyDescent="0.35">
      <c r="C14" s="54"/>
      <c r="F14" s="4" t="s">
        <v>59</v>
      </c>
      <c r="G14" s="5"/>
      <c r="J14" s="106"/>
      <c r="K14" s="106"/>
      <c r="N14" s="47" t="s">
        <v>82</v>
      </c>
      <c r="O14" s="16">
        <f>C9*C13</f>
        <v>0</v>
      </c>
    </row>
    <row r="15" spans="1:15" ht="17.25" thickBot="1" x14ac:dyDescent="0.35">
      <c r="B15" s="4" t="s">
        <v>51</v>
      </c>
      <c r="C15" s="5"/>
      <c r="F15" s="39" t="s">
        <v>71</v>
      </c>
      <c r="G15" s="41">
        <v>4.8</v>
      </c>
      <c r="J15" s="104" t="s">
        <v>61</v>
      </c>
      <c r="K15" s="103"/>
    </row>
    <row r="16" spans="1:15" ht="17.25" thickBot="1" x14ac:dyDescent="0.35">
      <c r="B16" s="40" t="s">
        <v>32</v>
      </c>
      <c r="C16" s="3">
        <v>80.730124674429746</v>
      </c>
      <c r="J16" s="42" t="s">
        <v>77</v>
      </c>
      <c r="K16" s="36">
        <f>C19*C33*G18*(1-G19)</f>
        <v>5668.1263134909541</v>
      </c>
      <c r="N16" s="114" t="s">
        <v>93</v>
      </c>
      <c r="O16" s="115"/>
    </row>
    <row r="17" spans="2:21" ht="16.5" thickTop="1" thickBot="1" x14ac:dyDescent="0.35">
      <c r="B17" s="40" t="s">
        <v>40</v>
      </c>
      <c r="C17" s="3">
        <v>261.09040321128282</v>
      </c>
      <c r="F17" s="4" t="s">
        <v>29</v>
      </c>
      <c r="G17" s="5"/>
      <c r="J17" s="43" t="s">
        <v>78</v>
      </c>
      <c r="K17" s="7">
        <f>SUM(K32,K38,K44,K50,K56,K62,K69,K75,K81)</f>
        <v>68766.12948299195</v>
      </c>
      <c r="N17" s="108">
        <f>O8+O10+O12+O14</f>
        <v>27608.671390461586</v>
      </c>
      <c r="O17" s="108"/>
    </row>
    <row r="18" spans="2:21" ht="15.75" thickBot="1" x14ac:dyDescent="0.35">
      <c r="B18" s="40" t="s">
        <v>31</v>
      </c>
      <c r="C18" s="3">
        <v>1917.2729609134633</v>
      </c>
      <c r="F18" s="2" t="s">
        <v>1</v>
      </c>
      <c r="G18" s="8">
        <v>0.34</v>
      </c>
      <c r="J18" s="22"/>
      <c r="K18" s="22"/>
      <c r="N18" s="109"/>
      <c r="O18" s="109"/>
    </row>
    <row r="19" spans="2:21" ht="15.75" thickBot="1" x14ac:dyDescent="0.35">
      <c r="B19" s="39" t="s">
        <v>41</v>
      </c>
      <c r="C19" s="11">
        <v>260.28040196036886</v>
      </c>
      <c r="F19" s="6" t="s">
        <v>2</v>
      </c>
      <c r="G19" s="10">
        <v>0.39</v>
      </c>
      <c r="J19" s="110" t="s">
        <v>67</v>
      </c>
      <c r="K19" s="111"/>
    </row>
    <row r="20" spans="2:21" ht="17.25" thickBot="1" x14ac:dyDescent="0.35">
      <c r="C20" s="54"/>
      <c r="J20" s="2" t="s">
        <v>9</v>
      </c>
      <c r="K20" s="3">
        <f>C12*G23*(1-G24)</f>
        <v>23760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16.088514846071057</v>
      </c>
      <c r="F22" s="40" t="s">
        <v>43</v>
      </c>
      <c r="G22" s="8">
        <v>0.39</v>
      </c>
      <c r="J22" s="22"/>
      <c r="K22" s="22"/>
      <c r="N22" s="40" t="s">
        <v>84</v>
      </c>
      <c r="O22" s="48">
        <f>SUM(K9:K13)*G40*G41/N17</f>
        <v>9.208094693717804E-2</v>
      </c>
      <c r="P22" s="17"/>
      <c r="Q22" s="17"/>
      <c r="R22" s="17"/>
      <c r="S22" s="29"/>
      <c r="T22" s="29"/>
      <c r="U22" s="13"/>
    </row>
    <row r="23" spans="2:21" ht="16.5" x14ac:dyDescent="0.35">
      <c r="B23" s="75" t="s">
        <v>34</v>
      </c>
      <c r="C23" s="52">
        <v>469.49211505352804</v>
      </c>
      <c r="F23" s="40" t="s">
        <v>3</v>
      </c>
      <c r="G23" s="12">
        <v>5.3999999999999999E-2</v>
      </c>
      <c r="J23" s="22"/>
      <c r="K23" s="22"/>
      <c r="N23" s="40" t="s">
        <v>85</v>
      </c>
      <c r="O23" s="49">
        <f>K16*G40*G41/N17</f>
        <v>5.2044156712531105E-2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3.3708393138016024E-3</v>
      </c>
      <c r="P25" s="17"/>
      <c r="Q25" s="17"/>
      <c r="R25" s="17"/>
      <c r="S25" s="27"/>
      <c r="T25" s="27"/>
      <c r="U25" s="14"/>
    </row>
    <row r="26" spans="2:21" ht="16.5" x14ac:dyDescent="0.35">
      <c r="B26" s="75" t="s">
        <v>36</v>
      </c>
      <c r="C26" s="52">
        <v>0</v>
      </c>
      <c r="F26" s="2"/>
      <c r="G26" s="3"/>
      <c r="J26" s="107" t="s">
        <v>73</v>
      </c>
      <c r="K26" s="107"/>
      <c r="N26" s="40" t="s">
        <v>34</v>
      </c>
      <c r="O26" s="8">
        <f>K38*G40*G41/N17</f>
        <v>0.16332430934310127</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687.41836160485411</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1769.7366330678162</v>
      </c>
      <c r="N29" s="40" t="s">
        <v>36</v>
      </c>
      <c r="O29" s="8">
        <f>K56*G40*G41/N17</f>
        <v>0</v>
      </c>
      <c r="P29" s="17"/>
      <c r="Q29" s="17"/>
      <c r="R29" s="17"/>
      <c r="S29" s="27"/>
      <c r="T29" s="27"/>
      <c r="U29" s="14"/>
    </row>
    <row r="30" spans="2:21" ht="17.25" thickBot="1" x14ac:dyDescent="0.35">
      <c r="B30" s="39" t="s">
        <v>39</v>
      </c>
      <c r="C30" s="55">
        <v>289.59326722927898</v>
      </c>
      <c r="F30" s="42" t="s">
        <v>199</v>
      </c>
      <c r="G30" s="99">
        <v>1.8E-3</v>
      </c>
      <c r="J30" s="2" t="s">
        <v>7</v>
      </c>
      <c r="K30" s="3">
        <f>C46*G27*C22</f>
        <v>1402.6187043703903</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367.1179286974259</v>
      </c>
      <c r="M31" s="17"/>
      <c r="N31" s="40" t="s">
        <v>87</v>
      </c>
      <c r="O31" s="8">
        <f>K69*G40*G41/N17</f>
        <v>0.40663978090798786</v>
      </c>
      <c r="P31" s="17"/>
      <c r="Q31" s="17"/>
      <c r="R31" s="17"/>
      <c r="S31" s="27"/>
      <c r="T31" s="27"/>
      <c r="U31" s="14"/>
    </row>
    <row r="32" spans="2:21" ht="17.25" thickBot="1" x14ac:dyDescent="0.35">
      <c r="B32" s="4" t="s">
        <v>72</v>
      </c>
      <c r="C32" s="5"/>
      <c r="F32" s="40" t="s">
        <v>201</v>
      </c>
      <c r="G32" s="99">
        <v>1.6585714285714283E-2</v>
      </c>
      <c r="J32" s="6" t="s">
        <v>11</v>
      </c>
      <c r="K32" s="11">
        <f>K31</f>
        <v>367.1179286974259</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5.8068645688681572E-2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71362.801488136261</v>
      </c>
      <c r="N35" s="42" t="s">
        <v>89</v>
      </c>
      <c r="O35" s="8">
        <f>O10/N17</f>
        <v>0.22447132109671855</v>
      </c>
      <c r="P35" s="17"/>
      <c r="Q35" s="17"/>
      <c r="R35" s="17"/>
      <c r="S35" s="17"/>
      <c r="T35" s="17"/>
    </row>
    <row r="36" spans="2:20" ht="17.25" thickBot="1" x14ac:dyDescent="0.35">
      <c r="B36" s="75" t="s">
        <v>34</v>
      </c>
      <c r="C36" s="52">
        <v>152</v>
      </c>
      <c r="J36" s="2" t="s">
        <v>7</v>
      </c>
      <c r="K36" s="3">
        <f>C47*G28*C23</f>
        <v>53575.159725896505</v>
      </c>
      <c r="N36" s="42" t="s">
        <v>90</v>
      </c>
      <c r="O36" s="8">
        <f>O12/N17</f>
        <v>0</v>
      </c>
      <c r="P36" s="17"/>
      <c r="Q36" s="17"/>
      <c r="R36" s="17"/>
      <c r="S36" s="17"/>
      <c r="T36" s="17"/>
    </row>
    <row r="37" spans="2:20" ht="16.5" x14ac:dyDescent="0.3">
      <c r="B37" s="75" t="s">
        <v>35</v>
      </c>
      <c r="C37" s="52">
        <v>152</v>
      </c>
      <c r="F37" s="4" t="s">
        <v>30</v>
      </c>
      <c r="G37" s="15"/>
      <c r="H37" s="35"/>
      <c r="J37" s="2" t="s">
        <v>8</v>
      </c>
      <c r="K37" s="36">
        <f>K35-K36</f>
        <v>17787.641762239757</v>
      </c>
      <c r="N37" s="42" t="s">
        <v>91</v>
      </c>
      <c r="O37" s="8">
        <f>O14/N17</f>
        <v>0</v>
      </c>
      <c r="P37" s="17"/>
      <c r="Q37" s="17"/>
      <c r="R37" s="17"/>
      <c r="S37" s="17"/>
      <c r="T37" s="17"/>
    </row>
    <row r="38" spans="2:20" ht="18" thickBot="1" x14ac:dyDescent="0.4">
      <c r="B38" s="40" t="s">
        <v>54</v>
      </c>
      <c r="C38" s="56">
        <v>121</v>
      </c>
      <c r="F38" s="40" t="s">
        <v>68</v>
      </c>
      <c r="G38" s="8">
        <v>0.6</v>
      </c>
      <c r="H38" s="33"/>
      <c r="J38" s="6" t="s">
        <v>11</v>
      </c>
      <c r="K38" s="11">
        <f>K37</f>
        <v>17787.641762239757</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137483.67232097083</v>
      </c>
      <c r="N66" s="17"/>
      <c r="O66" s="17"/>
      <c r="P66" s="30"/>
      <c r="Q66" s="30"/>
      <c r="R66" s="17"/>
      <c r="S66" s="17"/>
      <c r="T66" s="17"/>
    </row>
    <row r="67" spans="4:20" ht="16.5" x14ac:dyDescent="0.3">
      <c r="F67" s="20"/>
      <c r="G67" s="31"/>
      <c r="H67" s="20"/>
      <c r="J67" s="2" t="s">
        <v>7</v>
      </c>
      <c r="K67" s="3">
        <f>C52*G33*C28</f>
        <v>93196.555613365577</v>
      </c>
      <c r="N67" s="17"/>
      <c r="O67" s="17"/>
      <c r="P67" s="30"/>
      <c r="Q67" s="30"/>
      <c r="R67" s="17"/>
      <c r="S67" s="17"/>
      <c r="T67" s="17"/>
    </row>
    <row r="68" spans="4:20" ht="16.5" x14ac:dyDescent="0.3">
      <c r="F68" s="26"/>
      <c r="G68" s="22"/>
      <c r="H68" s="26"/>
      <c r="J68" s="2" t="s">
        <v>8</v>
      </c>
      <c r="K68" s="3">
        <f>(K65+K66)-K67</f>
        <v>44287.116707605252</v>
      </c>
      <c r="N68" s="17"/>
      <c r="O68" s="17"/>
      <c r="P68" s="30"/>
      <c r="Q68" s="30"/>
      <c r="R68" s="17"/>
      <c r="S68" s="17"/>
      <c r="T68" s="17"/>
    </row>
    <row r="69" spans="4:20" ht="17.25" thickBot="1" x14ac:dyDescent="0.35">
      <c r="F69" s="26"/>
      <c r="G69" s="22"/>
      <c r="H69" s="26"/>
      <c r="J69" s="6" t="s">
        <v>11</v>
      </c>
      <c r="K69" s="11">
        <f>K68</f>
        <v>44287.116707605252</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28669.733455698621</v>
      </c>
      <c r="N78" s="17"/>
      <c r="O78" s="17"/>
      <c r="P78" s="17"/>
      <c r="Q78" s="17"/>
      <c r="R78" s="17"/>
      <c r="S78" s="17"/>
      <c r="T78" s="17"/>
    </row>
    <row r="79" spans="4:20" ht="16.5" x14ac:dyDescent="0.3">
      <c r="J79" s="19" t="s">
        <v>14</v>
      </c>
      <c r="K79" s="3">
        <f>C54*G35*C30</f>
        <v>22345.480371249101</v>
      </c>
      <c r="N79" s="17"/>
      <c r="O79" s="17"/>
      <c r="P79" s="17"/>
      <c r="Q79" s="17"/>
      <c r="R79" s="17"/>
      <c r="S79" s="17"/>
      <c r="T79" s="17"/>
    </row>
    <row r="80" spans="4:20" ht="16.5" x14ac:dyDescent="0.3">
      <c r="J80" s="19" t="s">
        <v>15</v>
      </c>
      <c r="K80" s="3">
        <f>K78-K79</f>
        <v>6324.2530844495195</v>
      </c>
      <c r="N80" s="17"/>
      <c r="O80" s="17"/>
      <c r="P80" s="17"/>
      <c r="Q80" s="17"/>
      <c r="R80" s="17"/>
      <c r="S80" s="17"/>
      <c r="T80" s="17"/>
    </row>
    <row r="81" spans="10:20" ht="17.25" thickBot="1" x14ac:dyDescent="0.35">
      <c r="J81" s="21" t="s">
        <v>16</v>
      </c>
      <c r="K81" s="11">
        <f>K78-K79</f>
        <v>6324.2530844495195</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102</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872.96830823937853</v>
      </c>
    </row>
    <row r="9" spans="1:15" ht="16.5" x14ac:dyDescent="0.3">
      <c r="B9" s="40" t="s">
        <v>57</v>
      </c>
      <c r="C9" s="58">
        <v>6.2</v>
      </c>
      <c r="F9" s="40" t="s">
        <v>47</v>
      </c>
      <c r="G9" s="8">
        <v>0.35</v>
      </c>
      <c r="J9" s="40" t="s">
        <v>62</v>
      </c>
      <c r="K9" s="3">
        <f>SUM(C22:C30)*C9*G11</f>
        <v>31.169928136839019</v>
      </c>
    </row>
    <row r="10" spans="1:15" ht="16.5" x14ac:dyDescent="0.3">
      <c r="A10" s="32" t="s">
        <v>24</v>
      </c>
      <c r="B10" s="40" t="s">
        <v>80</v>
      </c>
      <c r="C10" s="52">
        <v>0</v>
      </c>
      <c r="F10" s="40" t="s">
        <v>69</v>
      </c>
      <c r="G10" s="8">
        <v>0.38</v>
      </c>
      <c r="J10" s="40" t="s">
        <v>63</v>
      </c>
      <c r="K10" s="3">
        <f>C16*C9*G10</f>
        <v>3.3926452393838384</v>
      </c>
      <c r="N10" s="16" t="s">
        <v>13</v>
      </c>
      <c r="O10" s="16">
        <f>C11*G15*G38*G39*G41</f>
        <v>18.971842104265566</v>
      </c>
    </row>
    <row r="11" spans="1:15" x14ac:dyDescent="0.3">
      <c r="B11" s="40" t="s">
        <v>163</v>
      </c>
      <c r="C11" s="52">
        <v>15.355350058490002</v>
      </c>
      <c r="F11" s="40" t="s">
        <v>70</v>
      </c>
      <c r="G11" s="8">
        <v>0.38</v>
      </c>
      <c r="J11" s="40" t="s">
        <v>64</v>
      </c>
      <c r="K11" s="3">
        <f>C17*C9</f>
        <v>496.06276608753831</v>
      </c>
      <c r="N11" s="18"/>
      <c r="O11" s="18"/>
    </row>
    <row r="12" spans="1:15" ht="17.25" thickBot="1" x14ac:dyDescent="0.35">
      <c r="B12" s="40" t="s">
        <v>58</v>
      </c>
      <c r="C12" s="52">
        <v>0</v>
      </c>
      <c r="F12" s="39" t="s">
        <v>48</v>
      </c>
      <c r="G12" s="10">
        <v>0.38</v>
      </c>
      <c r="J12" s="40" t="s">
        <v>65</v>
      </c>
      <c r="K12" s="3">
        <f>C18*C9*G9</f>
        <v>110.34467040923587</v>
      </c>
      <c r="N12" s="47" t="s">
        <v>81</v>
      </c>
      <c r="O12" s="16">
        <f>C10</f>
        <v>0</v>
      </c>
    </row>
    <row r="13" spans="1:15" ht="15.75" thickBot="1" x14ac:dyDescent="0.35">
      <c r="B13" s="39" t="s">
        <v>56</v>
      </c>
      <c r="C13" s="55">
        <v>100.053740414583</v>
      </c>
      <c r="J13" s="39" t="s">
        <v>66</v>
      </c>
      <c r="K13" s="11">
        <f>C19*C9*G12</f>
        <v>212.88848877133589</v>
      </c>
      <c r="N13" s="18"/>
      <c r="O13" s="18"/>
    </row>
    <row r="14" spans="1:15" ht="17.25" thickBot="1" x14ac:dyDescent="0.35">
      <c r="C14" s="54"/>
      <c r="F14" s="4" t="s">
        <v>59</v>
      </c>
      <c r="G14" s="5"/>
      <c r="J14" s="106"/>
      <c r="K14" s="106"/>
      <c r="N14" s="47" t="s">
        <v>82</v>
      </c>
      <c r="O14" s="16">
        <f>C9*C13</f>
        <v>620.33319057041467</v>
      </c>
    </row>
    <row r="15" spans="1:15" ht="17.25" thickBot="1" x14ac:dyDescent="0.35">
      <c r="B15" s="4" t="s">
        <v>51</v>
      </c>
      <c r="C15" s="5"/>
      <c r="F15" s="39" t="s">
        <v>71</v>
      </c>
      <c r="G15" s="41">
        <v>4.8</v>
      </c>
      <c r="J15" s="104" t="s">
        <v>61</v>
      </c>
      <c r="K15" s="103"/>
    </row>
    <row r="16" spans="1:15" ht="17.25" thickBot="1" x14ac:dyDescent="0.35">
      <c r="B16" s="40" t="s">
        <v>32</v>
      </c>
      <c r="C16" s="3">
        <v>1.4400022238471302</v>
      </c>
      <c r="J16" s="42" t="s">
        <v>77</v>
      </c>
      <c r="K16" s="36">
        <f>C19*C33*G18*(1-G19)</f>
        <v>1967.7727589021147</v>
      </c>
      <c r="N16" s="114" t="s">
        <v>93</v>
      </c>
      <c r="O16" s="115"/>
    </row>
    <row r="17" spans="2:21" ht="16.5" thickTop="1" thickBot="1" x14ac:dyDescent="0.35">
      <c r="B17" s="40" t="s">
        <v>40</v>
      </c>
      <c r="C17" s="3">
        <v>80.01012356250618</v>
      </c>
      <c r="F17" s="4" t="s">
        <v>29</v>
      </c>
      <c r="G17" s="5"/>
      <c r="J17" s="43" t="s">
        <v>78</v>
      </c>
      <c r="K17" s="7">
        <f>SUM(K32,K38,K44,K50,K56,K62,K69,K75,K81)</f>
        <v>622.03070789488731</v>
      </c>
      <c r="N17" s="108">
        <f>O8+O10+O12+O14</f>
        <v>1512.2733409140587</v>
      </c>
      <c r="O17" s="108"/>
    </row>
    <row r="18" spans="2:21" ht="15.75" thickBot="1" x14ac:dyDescent="0.35">
      <c r="B18" s="40" t="s">
        <v>31</v>
      </c>
      <c r="C18" s="3">
        <v>50.850078529601788</v>
      </c>
      <c r="F18" s="2" t="s">
        <v>1</v>
      </c>
      <c r="G18" s="8">
        <v>0.34</v>
      </c>
      <c r="J18" s="22"/>
      <c r="K18" s="22"/>
      <c r="N18" s="109"/>
      <c r="O18" s="109"/>
    </row>
    <row r="19" spans="2:21" ht="15.75" thickBot="1" x14ac:dyDescent="0.35">
      <c r="B19" s="39" t="s">
        <v>41</v>
      </c>
      <c r="C19" s="11">
        <v>90.360139546407424</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0.14553022474755062</v>
      </c>
      <c r="F22" s="40" t="s">
        <v>43</v>
      </c>
      <c r="G22" s="8">
        <v>0.39</v>
      </c>
      <c r="J22" s="22"/>
      <c r="K22" s="22"/>
      <c r="N22" s="40" t="s">
        <v>84</v>
      </c>
      <c r="O22" s="48">
        <f>SUM(K9:K13)*G40*G41/N17</f>
        <v>0.14313095625656427</v>
      </c>
      <c r="P22" s="17"/>
      <c r="Q22" s="17"/>
      <c r="R22" s="17"/>
      <c r="S22" s="29"/>
      <c r="T22" s="29"/>
      <c r="U22" s="13"/>
    </row>
    <row r="23" spans="2:21" ht="16.5" x14ac:dyDescent="0.35">
      <c r="B23" s="75" t="s">
        <v>34</v>
      </c>
      <c r="C23" s="52">
        <v>4.2468365585421584</v>
      </c>
      <c r="F23" s="40" t="s">
        <v>3</v>
      </c>
      <c r="G23" s="12">
        <v>5.3999999999999999E-2</v>
      </c>
      <c r="J23" s="22"/>
      <c r="K23" s="22"/>
      <c r="N23" s="40" t="s">
        <v>85</v>
      </c>
      <c r="O23" s="49">
        <f>K16*G40*G41/N17</f>
        <v>0.32985465053571572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5.5666062927882322E-4</v>
      </c>
      <c r="P25" s="17"/>
      <c r="Q25" s="17"/>
      <c r="R25" s="17"/>
      <c r="S25" s="27"/>
      <c r="T25" s="27"/>
      <c r="U25" s="14"/>
    </row>
    <row r="26" spans="2:21" ht="16.5" x14ac:dyDescent="0.35">
      <c r="B26" s="75" t="s">
        <v>36</v>
      </c>
      <c r="C26" s="52">
        <v>0</v>
      </c>
      <c r="F26" s="2"/>
      <c r="G26" s="3"/>
      <c r="J26" s="107" t="s">
        <v>73</v>
      </c>
      <c r="K26" s="107"/>
      <c r="N26" s="40" t="s">
        <v>34</v>
      </c>
      <c r="O26" s="8">
        <f>K38*G40*G41/N17</f>
        <v>2.6971387346531636E-2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6.2181096028498892</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16.008324722230569</v>
      </c>
      <c r="N29" s="40" t="s">
        <v>36</v>
      </c>
      <c r="O29" s="8">
        <f>K56*G40*G41/N17</f>
        <v>0</v>
      </c>
      <c r="P29" s="17"/>
      <c r="Q29" s="17"/>
      <c r="R29" s="17"/>
      <c r="S29" s="27"/>
      <c r="T29" s="27"/>
      <c r="U29" s="14"/>
    </row>
    <row r="30" spans="2:21" ht="17.25" thickBot="1" x14ac:dyDescent="0.35">
      <c r="B30" s="39" t="s">
        <v>39</v>
      </c>
      <c r="C30" s="55">
        <v>2.6195440454559109</v>
      </c>
      <c r="F30" s="42" t="s">
        <v>199</v>
      </c>
      <c r="G30" s="99">
        <v>1.8E-3</v>
      </c>
      <c r="J30" s="2" t="s">
        <v>7</v>
      </c>
      <c r="K30" s="3">
        <f>C46*G27*C22</f>
        <v>12.687523816531128</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3.320800905699441</v>
      </c>
      <c r="M31" s="17"/>
      <c r="N31" s="40" t="s">
        <v>87</v>
      </c>
      <c r="O31" s="8">
        <f>K69*G40*G41/N17</f>
        <v>6.7152520561639006E-2</v>
      </c>
      <c r="P31" s="17"/>
      <c r="Q31" s="17"/>
      <c r="R31" s="17"/>
      <c r="S31" s="27"/>
      <c r="T31" s="27"/>
      <c r="U31" s="14"/>
    </row>
    <row r="32" spans="2:21" ht="17.25" thickBot="1" x14ac:dyDescent="0.35">
      <c r="B32" s="4" t="s">
        <v>72</v>
      </c>
      <c r="C32" s="5"/>
      <c r="F32" s="40" t="s">
        <v>201</v>
      </c>
      <c r="G32" s="99">
        <v>1.6585714285714283E-2</v>
      </c>
      <c r="J32" s="6" t="s">
        <v>11</v>
      </c>
      <c r="K32" s="11">
        <f>K31</f>
        <v>3.320800905699441</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9.5894600250093723E-3</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645.51915689840803</v>
      </c>
      <c r="N35" s="42" t="s">
        <v>89</v>
      </c>
      <c r="O35" s="8">
        <f>O10/N17</f>
        <v>1.2545246676634843E-2</v>
      </c>
      <c r="P35" s="17"/>
      <c r="Q35" s="17"/>
      <c r="R35" s="17"/>
      <c r="S35" s="17"/>
      <c r="T35" s="17"/>
    </row>
    <row r="36" spans="2:20" ht="17.25" thickBot="1" x14ac:dyDescent="0.35">
      <c r="B36" s="75" t="s">
        <v>34</v>
      </c>
      <c r="C36" s="52">
        <v>152</v>
      </c>
      <c r="J36" s="2" t="s">
        <v>7</v>
      </c>
      <c r="K36" s="3">
        <f>C47*G28*C23</f>
        <v>484.61931448567998</v>
      </c>
      <c r="N36" s="42" t="s">
        <v>90</v>
      </c>
      <c r="O36" s="8">
        <f>O12/N17</f>
        <v>0</v>
      </c>
      <c r="P36" s="17"/>
      <c r="Q36" s="17"/>
      <c r="R36" s="17"/>
      <c r="S36" s="17"/>
      <c r="T36" s="17"/>
    </row>
    <row r="37" spans="2:20" ht="16.5" x14ac:dyDescent="0.3">
      <c r="B37" s="75" t="s">
        <v>35</v>
      </c>
      <c r="C37" s="52">
        <v>152</v>
      </c>
      <c r="F37" s="4" t="s">
        <v>30</v>
      </c>
      <c r="G37" s="15"/>
      <c r="H37" s="35"/>
      <c r="J37" s="2" t="s">
        <v>8</v>
      </c>
      <c r="K37" s="36">
        <f>K35-K36</f>
        <v>160.89984241272805</v>
      </c>
      <c r="N37" s="42" t="s">
        <v>91</v>
      </c>
      <c r="O37" s="8">
        <f>O14/N17</f>
        <v>0.41019911796862635</v>
      </c>
      <c r="P37" s="17"/>
      <c r="Q37" s="17"/>
      <c r="R37" s="17"/>
      <c r="S37" s="17"/>
      <c r="T37" s="17"/>
    </row>
    <row r="38" spans="2:20" ht="18" thickBot="1" x14ac:dyDescent="0.4">
      <c r="B38" s="40" t="s">
        <v>54</v>
      </c>
      <c r="C38" s="56">
        <v>121</v>
      </c>
      <c r="F38" s="40" t="s">
        <v>68</v>
      </c>
      <c r="G38" s="8">
        <v>0.6</v>
      </c>
      <c r="H38" s="33"/>
      <c r="J38" s="6" t="s">
        <v>11</v>
      </c>
      <c r="K38" s="11">
        <f>K37</f>
        <v>160.89984241272805</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1243.6219205699779</v>
      </c>
      <c r="N66" s="17"/>
      <c r="O66" s="17"/>
      <c r="P66" s="30"/>
      <c r="Q66" s="30"/>
      <c r="R66" s="17"/>
      <c r="S66" s="17"/>
      <c r="T66" s="17"/>
    </row>
    <row r="67" spans="4:20" ht="16.5" x14ac:dyDescent="0.3">
      <c r="F67" s="20"/>
      <c r="G67" s="31"/>
      <c r="H67" s="20"/>
      <c r="J67" s="2" t="s">
        <v>7</v>
      </c>
      <c r="K67" s="3">
        <f>C52*G33*C28</f>
        <v>843.01850194847952</v>
      </c>
      <c r="N67" s="17"/>
      <c r="O67" s="17"/>
      <c r="P67" s="30"/>
      <c r="Q67" s="30"/>
      <c r="R67" s="17"/>
      <c r="S67" s="17"/>
      <c r="T67" s="17"/>
    </row>
    <row r="68" spans="4:20" ht="16.5" x14ac:dyDescent="0.3">
      <c r="F68" s="26"/>
      <c r="G68" s="22"/>
      <c r="H68" s="26"/>
      <c r="J68" s="2" t="s">
        <v>8</v>
      </c>
      <c r="K68" s="3">
        <f>(K65+K66)-K67</f>
        <v>400.60341862149835</v>
      </c>
      <c r="N68" s="17"/>
      <c r="O68" s="17"/>
      <c r="P68" s="30"/>
      <c r="Q68" s="30"/>
      <c r="R68" s="17"/>
      <c r="S68" s="17"/>
      <c r="T68" s="17"/>
    </row>
    <row r="69" spans="4:20" ht="17.25" thickBot="1" x14ac:dyDescent="0.35">
      <c r="F69" s="26"/>
      <c r="G69" s="22"/>
      <c r="H69" s="26"/>
      <c r="J69" s="6" t="s">
        <v>11</v>
      </c>
      <c r="K69" s="11">
        <f>K68</f>
        <v>400.60341862149835</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259.33486050013516</v>
      </c>
      <c r="N78" s="17"/>
      <c r="O78" s="17"/>
      <c r="P78" s="17"/>
      <c r="Q78" s="17"/>
      <c r="R78" s="17"/>
      <c r="S78" s="17"/>
      <c r="T78" s="17"/>
    </row>
    <row r="79" spans="4:20" ht="16.5" x14ac:dyDescent="0.3">
      <c r="J79" s="19" t="s">
        <v>14</v>
      </c>
      <c r="K79" s="3">
        <f>C54*G35*C30</f>
        <v>202.12821454517368</v>
      </c>
      <c r="N79" s="17"/>
      <c r="O79" s="17"/>
      <c r="P79" s="17"/>
      <c r="Q79" s="17"/>
      <c r="R79" s="17"/>
      <c r="S79" s="17"/>
      <c r="T79" s="17"/>
    </row>
    <row r="80" spans="4:20" ht="16.5" x14ac:dyDescent="0.3">
      <c r="J80" s="19" t="s">
        <v>15</v>
      </c>
      <c r="K80" s="3">
        <f>K78-K79</f>
        <v>57.206645954961488</v>
      </c>
      <c r="N80" s="17"/>
      <c r="O80" s="17"/>
      <c r="P80" s="17"/>
      <c r="Q80" s="17"/>
      <c r="R80" s="17"/>
      <c r="S80" s="17"/>
      <c r="T80" s="17"/>
    </row>
    <row r="81" spans="10:20" ht="17.25" thickBot="1" x14ac:dyDescent="0.35">
      <c r="J81" s="21" t="s">
        <v>16</v>
      </c>
      <c r="K81" s="11">
        <f>K78-K79</f>
        <v>57.206645954961488</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103</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12800.488697223625</v>
      </c>
    </row>
    <row r="9" spans="1:15" ht="16.5" x14ac:dyDescent="0.3">
      <c r="B9" s="40" t="s">
        <v>57</v>
      </c>
      <c r="C9" s="58">
        <v>6.2</v>
      </c>
      <c r="F9" s="40" t="s">
        <v>47</v>
      </c>
      <c r="G9" s="8">
        <v>0.35</v>
      </c>
      <c r="J9" s="40" t="s">
        <v>62</v>
      </c>
      <c r="K9" s="3">
        <f>SUM(C22:C30)*C9*G11</f>
        <v>1588.1795999999999</v>
      </c>
    </row>
    <row r="10" spans="1:15" ht="16.5" x14ac:dyDescent="0.3">
      <c r="A10" s="32" t="s">
        <v>24</v>
      </c>
      <c r="B10" s="40" t="s">
        <v>80</v>
      </c>
      <c r="C10" s="52">
        <v>0</v>
      </c>
      <c r="F10" s="40" t="s">
        <v>69</v>
      </c>
      <c r="G10" s="8">
        <v>0.38</v>
      </c>
      <c r="J10" s="40" t="s">
        <v>63</v>
      </c>
      <c r="K10" s="3">
        <f>C16*C9*G10</f>
        <v>33.714360000000006</v>
      </c>
      <c r="N10" s="16" t="s">
        <v>13</v>
      </c>
      <c r="O10" s="16">
        <f>C11*G15*G38*G39*G41</f>
        <v>586.33207938977932</v>
      </c>
    </row>
    <row r="11" spans="1:15" x14ac:dyDescent="0.3">
      <c r="B11" s="40" t="s">
        <v>163</v>
      </c>
      <c r="C11" s="52">
        <v>474.56300131910399</v>
      </c>
      <c r="F11" s="40" t="s">
        <v>70</v>
      </c>
      <c r="G11" s="8">
        <v>0.38</v>
      </c>
      <c r="J11" s="40" t="s">
        <v>64</v>
      </c>
      <c r="K11" s="3">
        <f>C17*C9</f>
        <v>682.43400000000008</v>
      </c>
      <c r="N11" s="18"/>
      <c r="O11" s="18"/>
    </row>
    <row r="12" spans="1:15" ht="17.25" thickBot="1" x14ac:dyDescent="0.35">
      <c r="B12" s="40" t="s">
        <v>58</v>
      </c>
      <c r="C12" s="52">
        <v>2200000</v>
      </c>
      <c r="F12" s="39" t="s">
        <v>48</v>
      </c>
      <c r="G12" s="10">
        <v>0.38</v>
      </c>
      <c r="J12" s="40" t="s">
        <v>65</v>
      </c>
      <c r="K12" s="3">
        <f>C18*C9*G9</f>
        <v>1514.7467999999999</v>
      </c>
      <c r="N12" s="47" t="s">
        <v>81</v>
      </c>
      <c r="O12" s="16">
        <f>C10</f>
        <v>0</v>
      </c>
    </row>
    <row r="13" spans="1:15" ht="15.75" thickBot="1" x14ac:dyDescent="0.35">
      <c r="B13" s="39" t="s">
        <v>56</v>
      </c>
      <c r="C13" s="55">
        <v>882.73111388334928</v>
      </c>
      <c r="J13" s="39" t="s">
        <v>66</v>
      </c>
      <c r="K13" s="11">
        <f>C19*C9*G12</f>
        <v>244.27008000000001</v>
      </c>
      <c r="N13" s="18"/>
      <c r="O13" s="18"/>
    </row>
    <row r="14" spans="1:15" ht="17.25" thickBot="1" x14ac:dyDescent="0.35">
      <c r="C14" s="54"/>
      <c r="F14" s="4" t="s">
        <v>59</v>
      </c>
      <c r="G14" s="5"/>
      <c r="J14" s="106"/>
      <c r="K14" s="106"/>
      <c r="N14" s="47" t="s">
        <v>82</v>
      </c>
      <c r="O14" s="16">
        <f>C9*C13</f>
        <v>5472.9329060767659</v>
      </c>
    </row>
    <row r="15" spans="1:15" ht="17.25" thickBot="1" x14ac:dyDescent="0.35">
      <c r="B15" s="4" t="s">
        <v>51</v>
      </c>
      <c r="C15" s="5"/>
      <c r="F15" s="39" t="s">
        <v>71</v>
      </c>
      <c r="G15" s="41">
        <v>4.8</v>
      </c>
      <c r="J15" s="104" t="s">
        <v>61</v>
      </c>
      <c r="K15" s="103"/>
    </row>
    <row r="16" spans="1:15" ht="17.25" thickBot="1" x14ac:dyDescent="0.35">
      <c r="B16" s="40" t="s">
        <v>32</v>
      </c>
      <c r="C16" s="3">
        <v>14.31</v>
      </c>
      <c r="J16" s="42" t="s">
        <v>77</v>
      </c>
      <c r="K16" s="36">
        <f>C19*C33*G18*(1-G19)</f>
        <v>2257.8393600000004</v>
      </c>
      <c r="N16" s="114" t="s">
        <v>93</v>
      </c>
      <c r="O16" s="115"/>
    </row>
    <row r="17" spans="2:21" ht="16.5" thickTop="1" thickBot="1" x14ac:dyDescent="0.35">
      <c r="B17" s="40" t="s">
        <v>40</v>
      </c>
      <c r="C17" s="3">
        <v>110.07000000000001</v>
      </c>
      <c r="F17" s="4" t="s">
        <v>29</v>
      </c>
      <c r="G17" s="5"/>
      <c r="J17" s="43" t="s">
        <v>78</v>
      </c>
      <c r="K17" s="7">
        <f>SUM(K32,K38,K44,K50,K56,K62,K69,K75,K81)</f>
        <v>31693.896646641515</v>
      </c>
      <c r="N17" s="108">
        <f>O8+O10+O12+O14</f>
        <v>18859.753682690171</v>
      </c>
      <c r="O17" s="108"/>
    </row>
    <row r="18" spans="2:21" ht="15.75" thickBot="1" x14ac:dyDescent="0.35">
      <c r="B18" s="40" t="s">
        <v>31</v>
      </c>
      <c r="C18" s="3">
        <v>698.04</v>
      </c>
      <c r="F18" s="2" t="s">
        <v>1</v>
      </c>
      <c r="G18" s="8">
        <v>0.34</v>
      </c>
      <c r="J18" s="22"/>
      <c r="K18" s="22"/>
      <c r="N18" s="109"/>
      <c r="O18" s="109"/>
    </row>
    <row r="19" spans="2:21" ht="15.75" thickBot="1" x14ac:dyDescent="0.35">
      <c r="B19" s="39" t="s">
        <v>41</v>
      </c>
      <c r="C19" s="11">
        <v>103.68</v>
      </c>
      <c r="F19" s="6" t="s">
        <v>2</v>
      </c>
      <c r="G19" s="10">
        <v>0.39</v>
      </c>
      <c r="J19" s="110" t="s">
        <v>67</v>
      </c>
      <c r="K19" s="111"/>
    </row>
    <row r="20" spans="2:21" ht="17.25" thickBot="1" x14ac:dyDescent="0.35">
      <c r="C20" s="54"/>
      <c r="J20" s="2" t="s">
        <v>9</v>
      </c>
      <c r="K20" s="3">
        <f>C12*G23*(1-G24)</f>
        <v>59400</v>
      </c>
    </row>
    <row r="21" spans="2:21" ht="17.25" thickBot="1" x14ac:dyDescent="0.35">
      <c r="B21" s="4" t="s">
        <v>52</v>
      </c>
      <c r="C21" s="5"/>
      <c r="F21" s="4" t="s">
        <v>28</v>
      </c>
      <c r="G21" s="5"/>
      <c r="J21" s="6" t="s">
        <v>10</v>
      </c>
      <c r="K21" s="11">
        <f>IF(K20&gt;(SUM(K29,K35,K41,K47,K53,K59,K65,K72,K78)),K20-(SUM(K29,K35,K41,K47,K53,K59,K65,K72,K78)),0)</f>
        <v>12479.943599999999</v>
      </c>
      <c r="N21" s="110" t="s">
        <v>83</v>
      </c>
      <c r="O21" s="111"/>
    </row>
    <row r="22" spans="2:21" x14ac:dyDescent="0.3">
      <c r="B22" s="75" t="s">
        <v>33</v>
      </c>
      <c r="C22" s="52">
        <v>7.4151000000000007</v>
      </c>
      <c r="F22" s="40" t="s">
        <v>43</v>
      </c>
      <c r="G22" s="8">
        <v>0.39</v>
      </c>
      <c r="J22" s="22"/>
      <c r="K22" s="22"/>
      <c r="N22" s="40" t="s">
        <v>84</v>
      </c>
      <c r="O22" s="48">
        <f>SUM(K9:K13)*G40*G41/N17</f>
        <v>5.4616721632234584E-2</v>
      </c>
      <c r="P22" s="17"/>
      <c r="Q22" s="17"/>
      <c r="R22" s="17"/>
      <c r="S22" s="29"/>
      <c r="T22" s="29"/>
      <c r="U22" s="13"/>
    </row>
    <row r="23" spans="2:21" ht="16.5" x14ac:dyDescent="0.35">
      <c r="B23" s="75" t="s">
        <v>34</v>
      </c>
      <c r="C23" s="52">
        <v>216.3861</v>
      </c>
      <c r="F23" s="40" t="s">
        <v>3</v>
      </c>
      <c r="G23" s="12">
        <v>5.3999999999999999E-2</v>
      </c>
      <c r="J23" s="22"/>
      <c r="K23" s="22"/>
      <c r="N23" s="40" t="s">
        <v>85</v>
      </c>
      <c r="O23" s="49">
        <f>K16*G40*G41/N17</f>
        <v>3.0348343217511092E-2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2.2743044357330941E-3</v>
      </c>
      <c r="P25" s="17"/>
      <c r="Q25" s="17"/>
      <c r="R25" s="17"/>
      <c r="S25" s="27"/>
      <c r="T25" s="27"/>
      <c r="U25" s="14"/>
    </row>
    <row r="26" spans="2:21" ht="16.5" x14ac:dyDescent="0.35">
      <c r="B26" s="75" t="s">
        <v>36</v>
      </c>
      <c r="C26" s="52">
        <v>0</v>
      </c>
      <c r="F26" s="2"/>
      <c r="G26" s="3"/>
      <c r="J26" s="107" t="s">
        <v>73</v>
      </c>
      <c r="K26" s="107"/>
      <c r="N26" s="40" t="s">
        <v>34</v>
      </c>
      <c r="O26" s="8">
        <f>K38*G40*G41/N17</f>
        <v>0.11019487036394568</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316.827</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815.66100000000006</v>
      </c>
      <c r="N29" s="40" t="s">
        <v>36</v>
      </c>
      <c r="O29" s="8">
        <f>K56*G40*G41/N17</f>
        <v>0</v>
      </c>
      <c r="P29" s="17"/>
      <c r="Q29" s="17"/>
      <c r="R29" s="17"/>
      <c r="S29" s="27"/>
      <c r="T29" s="27"/>
      <c r="U29" s="14"/>
    </row>
    <row r="30" spans="2:21" ht="17.25" thickBot="1" x14ac:dyDescent="0.35">
      <c r="B30" s="39" t="s">
        <v>39</v>
      </c>
      <c r="C30" s="55">
        <v>133.4718</v>
      </c>
      <c r="F30" s="42" t="s">
        <v>199</v>
      </c>
      <c r="G30" s="99">
        <v>1.8E-3</v>
      </c>
      <c r="J30" s="2" t="s">
        <v>7</v>
      </c>
      <c r="K30" s="3">
        <f>C46*G27*C22</f>
        <v>646.45854849161424</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169.20245150838582</v>
      </c>
      <c r="M31" s="17"/>
      <c r="N31" s="40" t="s">
        <v>87</v>
      </c>
      <c r="O31" s="8">
        <f>K69*G40*G41/N17</f>
        <v>0.27435975772501697</v>
      </c>
      <c r="P31" s="17"/>
      <c r="Q31" s="17"/>
      <c r="R31" s="17"/>
      <c r="S31" s="27"/>
      <c r="T31" s="27"/>
      <c r="U31" s="14"/>
    </row>
    <row r="32" spans="2:21" ht="17.25" thickBot="1" x14ac:dyDescent="0.35">
      <c r="B32" s="4" t="s">
        <v>72</v>
      </c>
      <c r="C32" s="5"/>
      <c r="F32" s="40" t="s">
        <v>201</v>
      </c>
      <c r="G32" s="99">
        <v>1.6585714285714283E-2</v>
      </c>
      <c r="J32" s="6" t="s">
        <v>11</v>
      </c>
      <c r="K32" s="11">
        <f>K31</f>
        <v>169.20245150838582</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3.9178900615656834E-2</v>
      </c>
      <c r="P33" s="17"/>
      <c r="Q33" s="17"/>
      <c r="R33" s="17"/>
      <c r="S33" s="17"/>
      <c r="T33" s="17"/>
    </row>
    <row r="34" spans="2:20" ht="16.5" x14ac:dyDescent="0.3">
      <c r="B34" s="40"/>
      <c r="C34" s="3"/>
      <c r="F34" s="42" t="s">
        <v>203</v>
      </c>
      <c r="G34" s="99">
        <v>1.5E-3</v>
      </c>
      <c r="J34" s="102" t="s">
        <v>21</v>
      </c>
      <c r="K34" s="103"/>
      <c r="N34" s="40" t="s">
        <v>88</v>
      </c>
      <c r="O34" s="8">
        <f>K21*G40*G41/N17</f>
        <v>0.16774692585214782</v>
      </c>
      <c r="P34" s="17"/>
      <c r="Q34" s="17"/>
      <c r="R34" s="17"/>
      <c r="S34" s="17"/>
      <c r="T34" s="17"/>
    </row>
    <row r="35" spans="2:20" ht="17.25" thickBot="1" x14ac:dyDescent="0.35">
      <c r="B35" s="75" t="s">
        <v>33</v>
      </c>
      <c r="C35" s="52">
        <v>110</v>
      </c>
      <c r="F35" s="43" t="s">
        <v>204</v>
      </c>
      <c r="G35" s="100">
        <v>1.8778333333333334E-2</v>
      </c>
      <c r="J35" s="40" t="s">
        <v>75</v>
      </c>
      <c r="K35" s="3">
        <f>C36*C23</f>
        <v>32890.6872</v>
      </c>
      <c r="N35" s="42" t="s">
        <v>89</v>
      </c>
      <c r="O35" s="8">
        <f>O10/N17</f>
        <v>3.108906347636585E-2</v>
      </c>
      <c r="P35" s="17"/>
      <c r="Q35" s="17"/>
      <c r="R35" s="17"/>
      <c r="S35" s="17"/>
      <c r="T35" s="17"/>
    </row>
    <row r="36" spans="2:20" ht="17.25" thickBot="1" x14ac:dyDescent="0.35">
      <c r="B36" s="75" t="s">
        <v>34</v>
      </c>
      <c r="C36" s="52">
        <v>152</v>
      </c>
      <c r="J36" s="2" t="s">
        <v>7</v>
      </c>
      <c r="K36" s="3">
        <f>C47*G28*C23</f>
        <v>24692.469795029625</v>
      </c>
      <c r="N36" s="42" t="s">
        <v>90</v>
      </c>
      <c r="O36" s="8">
        <f>O12/N17</f>
        <v>0</v>
      </c>
      <c r="P36" s="17"/>
      <c r="Q36" s="17"/>
      <c r="R36" s="17"/>
      <c r="S36" s="17"/>
      <c r="T36" s="17"/>
    </row>
    <row r="37" spans="2:20" ht="16.5" x14ac:dyDescent="0.3">
      <c r="B37" s="75" t="s">
        <v>35</v>
      </c>
      <c r="C37" s="52">
        <v>152</v>
      </c>
      <c r="F37" s="4" t="s">
        <v>30</v>
      </c>
      <c r="G37" s="15"/>
      <c r="H37" s="35"/>
      <c r="J37" s="2" t="s">
        <v>8</v>
      </c>
      <c r="K37" s="36">
        <f>K35-K36</f>
        <v>8198.2174049703754</v>
      </c>
      <c r="N37" s="42" t="s">
        <v>91</v>
      </c>
      <c r="O37" s="8">
        <f>O14/N17</f>
        <v>0.29019111268138803</v>
      </c>
      <c r="P37" s="17"/>
      <c r="Q37" s="17"/>
      <c r="R37" s="17"/>
      <c r="S37" s="17"/>
      <c r="T37" s="17"/>
    </row>
    <row r="38" spans="2:20" ht="18" thickBot="1" x14ac:dyDescent="0.4">
      <c r="B38" s="40" t="s">
        <v>54</v>
      </c>
      <c r="C38" s="56">
        <v>121</v>
      </c>
      <c r="F38" s="40" t="s">
        <v>68</v>
      </c>
      <c r="G38" s="8">
        <v>0.6</v>
      </c>
      <c r="H38" s="33"/>
      <c r="J38" s="6" t="s">
        <v>11</v>
      </c>
      <c r="K38" s="11">
        <f>K37</f>
        <v>8198.2174049703754</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63365.4</v>
      </c>
      <c r="N66" s="17"/>
      <c r="O66" s="17"/>
      <c r="P66" s="30"/>
      <c r="Q66" s="30"/>
      <c r="R66" s="17"/>
      <c r="S66" s="17"/>
      <c r="T66" s="17"/>
    </row>
    <row r="67" spans="4:20" ht="16.5" x14ac:dyDescent="0.3">
      <c r="F67" s="20"/>
      <c r="G67" s="31"/>
      <c r="H67" s="20"/>
      <c r="J67" s="2" t="s">
        <v>7</v>
      </c>
      <c r="K67" s="3">
        <f>C52*G33*C28</f>
        <v>42953.733526089265</v>
      </c>
      <c r="N67" s="17"/>
      <c r="O67" s="17"/>
      <c r="P67" s="30"/>
      <c r="Q67" s="30"/>
      <c r="R67" s="17"/>
      <c r="S67" s="17"/>
      <c r="T67" s="17"/>
    </row>
    <row r="68" spans="4:20" ht="16.5" x14ac:dyDescent="0.3">
      <c r="F68" s="26"/>
      <c r="G68" s="22"/>
      <c r="H68" s="26"/>
      <c r="J68" s="2" t="s">
        <v>8</v>
      </c>
      <c r="K68" s="3">
        <f>(K65+K66)-K67</f>
        <v>20411.666473910736</v>
      </c>
      <c r="N68" s="17"/>
      <c r="O68" s="17"/>
      <c r="P68" s="30"/>
      <c r="Q68" s="30"/>
      <c r="R68" s="17"/>
      <c r="S68" s="17"/>
      <c r="T68" s="17"/>
    </row>
    <row r="69" spans="4:20" ht="17.25" thickBot="1" x14ac:dyDescent="0.35">
      <c r="F69" s="26"/>
      <c r="G69" s="22"/>
      <c r="H69" s="26"/>
      <c r="J69" s="6" t="s">
        <v>11</v>
      </c>
      <c r="K69" s="11">
        <f>K68</f>
        <v>20411.666473910736</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13213.708200000001</v>
      </c>
      <c r="N78" s="17"/>
      <c r="O78" s="17"/>
      <c r="P78" s="17"/>
      <c r="Q78" s="17"/>
      <c r="R78" s="17"/>
      <c r="S78" s="17"/>
      <c r="T78" s="17"/>
    </row>
    <row r="79" spans="4:20" ht="16.5" x14ac:dyDescent="0.3">
      <c r="J79" s="19" t="s">
        <v>14</v>
      </c>
      <c r="K79" s="3">
        <f>C54*G35*C30</f>
        <v>10298.897883747984</v>
      </c>
      <c r="N79" s="17"/>
      <c r="O79" s="17"/>
      <c r="P79" s="17"/>
      <c r="Q79" s="17"/>
      <c r="R79" s="17"/>
      <c r="S79" s="17"/>
      <c r="T79" s="17"/>
    </row>
    <row r="80" spans="4:20" ht="16.5" x14ac:dyDescent="0.3">
      <c r="J80" s="19" t="s">
        <v>15</v>
      </c>
      <c r="K80" s="3">
        <f>K78-K79</f>
        <v>2914.8103162520165</v>
      </c>
      <c r="N80" s="17"/>
      <c r="O80" s="17"/>
      <c r="P80" s="17"/>
      <c r="Q80" s="17"/>
      <c r="R80" s="17"/>
      <c r="S80" s="17"/>
      <c r="T80" s="17"/>
    </row>
    <row r="81" spans="10:20" ht="17.25" thickBot="1" x14ac:dyDescent="0.35">
      <c r="J81" s="21" t="s">
        <v>16</v>
      </c>
      <c r="K81" s="11">
        <f>K78-K79</f>
        <v>2914.8103162520165</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150</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21329.630134127179</v>
      </c>
    </row>
    <row r="9" spans="1:15" ht="16.5" x14ac:dyDescent="0.3">
      <c r="B9" s="40" t="s">
        <v>57</v>
      </c>
      <c r="C9" s="58">
        <v>6.2</v>
      </c>
      <c r="F9" s="40" t="s">
        <v>47</v>
      </c>
      <c r="G9" s="8">
        <v>0.35</v>
      </c>
      <c r="J9" s="40" t="s">
        <v>62</v>
      </c>
      <c r="K9" s="3">
        <f>SUM(C22:C30)*C9*G11</f>
        <v>3708.5853273014595</v>
      </c>
    </row>
    <row r="10" spans="1:15" ht="16.5" x14ac:dyDescent="0.3">
      <c r="A10" s="32" t="s">
        <v>24</v>
      </c>
      <c r="B10" s="40" t="s">
        <v>80</v>
      </c>
      <c r="C10" s="60">
        <v>87281.829349500855</v>
      </c>
      <c r="F10" s="40" t="s">
        <v>69</v>
      </c>
      <c r="G10" s="8">
        <v>0.38</v>
      </c>
      <c r="J10" s="40" t="s">
        <v>63</v>
      </c>
      <c r="K10" s="3">
        <f>C16*C9*G10</f>
        <v>56.826807759679305</v>
      </c>
      <c r="N10" s="16" t="s">
        <v>13</v>
      </c>
      <c r="O10" s="16">
        <f>C11*G15*G38*G39*G41</f>
        <v>1048.4233509336882</v>
      </c>
    </row>
    <row r="11" spans="1:15" x14ac:dyDescent="0.3">
      <c r="B11" s="40" t="s">
        <v>163</v>
      </c>
      <c r="C11" s="52">
        <v>848.56849823045218</v>
      </c>
      <c r="F11" s="40" t="s">
        <v>70</v>
      </c>
      <c r="G11" s="8">
        <v>0.38</v>
      </c>
      <c r="J11" s="40" t="s">
        <v>64</v>
      </c>
      <c r="K11" s="3">
        <f>C17*C9</f>
        <v>1252.7119346080131</v>
      </c>
      <c r="N11" s="18"/>
      <c r="O11" s="18"/>
    </row>
    <row r="12" spans="1:15" ht="17.25" thickBot="1" x14ac:dyDescent="0.35">
      <c r="B12" s="40" t="s">
        <v>58</v>
      </c>
      <c r="C12" s="52">
        <v>1848000</v>
      </c>
      <c r="F12" s="39" t="s">
        <v>48</v>
      </c>
      <c r="G12" s="10">
        <v>0.38</v>
      </c>
      <c r="J12" s="40" t="s">
        <v>65</v>
      </c>
      <c r="K12" s="3">
        <f>C18*C9*G9</f>
        <v>2517.4208877434526</v>
      </c>
      <c r="N12" s="47" t="s">
        <v>81</v>
      </c>
      <c r="O12" s="16">
        <f>C10</f>
        <v>87281.829349500855</v>
      </c>
    </row>
    <row r="13" spans="1:15" ht="15.75" thickBot="1" x14ac:dyDescent="0.35">
      <c r="B13" s="39" t="s">
        <v>56</v>
      </c>
      <c r="C13" s="55">
        <v>90.82979325771052</v>
      </c>
      <c r="J13" s="39" t="s">
        <v>66</v>
      </c>
      <c r="K13" s="11">
        <f>C19*C9*G12</f>
        <v>75.062275921367444</v>
      </c>
      <c r="N13" s="18"/>
      <c r="O13" s="18"/>
    </row>
    <row r="14" spans="1:15" ht="17.25" thickBot="1" x14ac:dyDescent="0.35">
      <c r="C14" s="54"/>
      <c r="F14" s="4" t="s">
        <v>59</v>
      </c>
      <c r="G14" s="5"/>
      <c r="J14" s="106"/>
      <c r="K14" s="106"/>
      <c r="N14" s="47" t="s">
        <v>82</v>
      </c>
      <c r="O14" s="16">
        <f>C9*C13</f>
        <v>563.14471819780522</v>
      </c>
    </row>
    <row r="15" spans="1:15" ht="17.25" thickBot="1" x14ac:dyDescent="0.35">
      <c r="B15" s="4" t="s">
        <v>51</v>
      </c>
      <c r="C15" s="5"/>
      <c r="F15" s="39" t="s">
        <v>71</v>
      </c>
      <c r="G15" s="41">
        <v>4.8</v>
      </c>
      <c r="J15" s="104" t="s">
        <v>61</v>
      </c>
      <c r="K15" s="103"/>
    </row>
    <row r="16" spans="1:15" ht="17.25" thickBot="1" x14ac:dyDescent="0.35">
      <c r="B16" s="40" t="s">
        <v>32</v>
      </c>
      <c r="C16" s="3">
        <v>24.120037249439434</v>
      </c>
      <c r="J16" s="42" t="s">
        <v>77</v>
      </c>
      <c r="K16" s="36">
        <f>C19*C33*G18*(1-G19)</f>
        <v>693.81629148540696</v>
      </c>
      <c r="N16" s="114" t="s">
        <v>93</v>
      </c>
      <c r="O16" s="115"/>
    </row>
    <row r="17" spans="2:21" ht="16.5" thickTop="1" thickBot="1" x14ac:dyDescent="0.35">
      <c r="B17" s="40" t="s">
        <v>40</v>
      </c>
      <c r="C17" s="3">
        <v>202.05031203355048</v>
      </c>
      <c r="F17" s="4" t="s">
        <v>29</v>
      </c>
      <c r="G17" s="5"/>
      <c r="J17" s="43" t="s">
        <v>78</v>
      </c>
      <c r="K17" s="7">
        <f>SUM(K32,K38,K44,K50,K56,K62,K69,K75,K81)</f>
        <v>75836.129272526494</v>
      </c>
      <c r="N17" s="108">
        <f>O8+O10+O12+O14</f>
        <v>110223.02755275952</v>
      </c>
      <c r="O17" s="108"/>
    </row>
    <row r="18" spans="2:21" ht="15.75" thickBot="1" x14ac:dyDescent="0.35">
      <c r="B18" s="40" t="s">
        <v>31</v>
      </c>
      <c r="C18" s="3">
        <v>1160.1017915868445</v>
      </c>
      <c r="F18" s="2" t="s">
        <v>1</v>
      </c>
      <c r="G18" s="8">
        <v>0.34</v>
      </c>
      <c r="J18" s="22"/>
      <c r="K18" s="22"/>
      <c r="N18" s="109"/>
      <c r="O18" s="109"/>
    </row>
    <row r="19" spans="2:21" ht="15.75" thickBot="1" x14ac:dyDescent="0.35">
      <c r="B19" s="39" t="s">
        <v>41</v>
      </c>
      <c r="C19" s="11">
        <v>31.860049202617759</v>
      </c>
      <c r="F19" s="6" t="s">
        <v>2</v>
      </c>
      <c r="G19" s="10">
        <v>0.39</v>
      </c>
      <c r="J19" s="110" t="s">
        <v>67</v>
      </c>
      <c r="K19" s="111"/>
    </row>
    <row r="20" spans="2:21" ht="17.25" thickBot="1" x14ac:dyDescent="0.35">
      <c r="C20" s="54"/>
      <c r="J20" s="2" t="s">
        <v>9</v>
      </c>
      <c r="K20" s="3">
        <f>C12*G23*(1-G24)</f>
        <v>49896</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17.086041705728498</v>
      </c>
      <c r="F22" s="40" t="s">
        <v>43</v>
      </c>
      <c r="G22" s="8">
        <v>0.39</v>
      </c>
      <c r="J22" s="22"/>
      <c r="K22" s="22"/>
      <c r="N22" s="40" t="s">
        <v>84</v>
      </c>
      <c r="O22" s="48">
        <f>SUM(K9:K13)*G40*G41/N17</f>
        <v>1.7503501550315208E-2</v>
      </c>
      <c r="P22" s="17"/>
      <c r="Q22" s="17"/>
      <c r="R22" s="17"/>
      <c r="S22" s="29"/>
      <c r="T22" s="29"/>
      <c r="U22" s="13"/>
    </row>
    <row r="23" spans="2:21" ht="16.5" x14ac:dyDescent="0.35">
      <c r="B23" s="75" t="s">
        <v>34</v>
      </c>
      <c r="C23" s="52">
        <v>498.60176250353157</v>
      </c>
      <c r="F23" s="40" t="s">
        <v>3</v>
      </c>
      <c r="G23" s="12">
        <v>5.3999999999999999E-2</v>
      </c>
      <c r="J23" s="22"/>
      <c r="K23" s="22"/>
      <c r="N23" s="40" t="s">
        <v>85</v>
      </c>
      <c r="O23" s="49">
        <f>K16*G40*G41/N17</f>
        <v>1.5956958704238327E-3</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8.9667844232963585E-4</v>
      </c>
      <c r="P25" s="17"/>
      <c r="Q25" s="17"/>
      <c r="R25" s="17"/>
      <c r="S25" s="27"/>
      <c r="T25" s="27"/>
      <c r="U25" s="14"/>
    </row>
    <row r="26" spans="2:21" ht="16.5" x14ac:dyDescent="0.35">
      <c r="B26" s="75" t="s">
        <v>36</v>
      </c>
      <c r="C26" s="52">
        <v>0</v>
      </c>
      <c r="F26" s="2"/>
      <c r="G26" s="3"/>
      <c r="J26" s="107" t="s">
        <v>73</v>
      </c>
      <c r="K26" s="107"/>
      <c r="N26" s="40" t="s">
        <v>34</v>
      </c>
      <c r="O26" s="8">
        <f>K38*G40*G41/N17</f>
        <v>4.3445971066230188E-2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730.03996379021748</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20.825912240303921</v>
      </c>
      <c r="F29" s="40" t="s">
        <v>198</v>
      </c>
      <c r="G29" s="99">
        <v>3.8750500000000005E-3</v>
      </c>
      <c r="J29" s="40" t="s">
        <v>75</v>
      </c>
      <c r="K29" s="3">
        <f>C35*C22</f>
        <v>1879.4645876301347</v>
      </c>
      <c r="N29" s="40" t="s">
        <v>36</v>
      </c>
      <c r="O29" s="8">
        <f>K56*G40*G41/N17</f>
        <v>0</v>
      </c>
      <c r="P29" s="17"/>
      <c r="Q29" s="17"/>
      <c r="R29" s="17"/>
      <c r="S29" s="27"/>
      <c r="T29" s="27"/>
      <c r="U29" s="14"/>
    </row>
    <row r="30" spans="2:21" ht="17.25" thickBot="1" x14ac:dyDescent="0.35">
      <c r="B30" s="39" t="s">
        <v>39</v>
      </c>
      <c r="C30" s="55">
        <v>307.54875070311294</v>
      </c>
      <c r="F30" s="42" t="s">
        <v>199</v>
      </c>
      <c r="G30" s="99">
        <v>1.8E-3</v>
      </c>
      <c r="J30" s="2" t="s">
        <v>7</v>
      </c>
      <c r="K30" s="3">
        <f>C46*G27*C22</f>
        <v>1489.5844588140994</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389.88012881603527</v>
      </c>
      <c r="M31" s="17"/>
      <c r="N31" s="40" t="s">
        <v>87</v>
      </c>
      <c r="O31" s="8">
        <f>K69*G40*G41/N17</f>
        <v>0.10817042623209999</v>
      </c>
      <c r="P31" s="17"/>
      <c r="Q31" s="17"/>
      <c r="R31" s="17"/>
      <c r="S31" s="27"/>
      <c r="T31" s="27"/>
      <c r="U31" s="14"/>
    </row>
    <row r="32" spans="2:21" ht="17.25" thickBot="1" x14ac:dyDescent="0.35">
      <c r="B32" s="4" t="s">
        <v>72</v>
      </c>
      <c r="C32" s="5"/>
      <c r="F32" s="40" t="s">
        <v>201</v>
      </c>
      <c r="G32" s="99">
        <v>1.6585714285714283E-2</v>
      </c>
      <c r="J32" s="6" t="s">
        <v>11</v>
      </c>
      <c r="K32" s="11">
        <f>K31</f>
        <v>389.88012881603527</v>
      </c>
      <c r="M32" s="17"/>
      <c r="N32" s="40" t="s">
        <v>53</v>
      </c>
      <c r="O32" s="8">
        <f>K75*G40*G41/N17</f>
        <v>6.4542365963641771E-3</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1.5446865874361618E-2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75787.467900536794</v>
      </c>
      <c r="N35" s="42" t="s">
        <v>89</v>
      </c>
      <c r="O35" s="8">
        <f>O10/N17</f>
        <v>9.5118359040886283E-3</v>
      </c>
      <c r="P35" s="17"/>
      <c r="Q35" s="17"/>
      <c r="R35" s="17"/>
      <c r="S35" s="17"/>
      <c r="T35" s="17"/>
    </row>
    <row r="36" spans="2:20" ht="17.25" thickBot="1" x14ac:dyDescent="0.35">
      <c r="B36" s="75" t="s">
        <v>34</v>
      </c>
      <c r="C36" s="52">
        <v>152</v>
      </c>
      <c r="J36" s="2" t="s">
        <v>7</v>
      </c>
      <c r="K36" s="3">
        <f>C47*G28*C23</f>
        <v>56896.949297422463</v>
      </c>
      <c r="N36" s="42" t="s">
        <v>90</v>
      </c>
      <c r="O36" s="8">
        <f>O12/N17</f>
        <v>0.79186564992258446</v>
      </c>
      <c r="P36" s="17"/>
      <c r="Q36" s="17"/>
      <c r="R36" s="17"/>
      <c r="S36" s="17"/>
      <c r="T36" s="17"/>
    </row>
    <row r="37" spans="2:20" ht="16.5" x14ac:dyDescent="0.3">
      <c r="B37" s="75" t="s">
        <v>35</v>
      </c>
      <c r="C37" s="52">
        <v>152</v>
      </c>
      <c r="F37" s="4" t="s">
        <v>30</v>
      </c>
      <c r="G37" s="15"/>
      <c r="H37" s="35"/>
      <c r="J37" s="2" t="s">
        <v>8</v>
      </c>
      <c r="K37" s="36">
        <f>K35-K36</f>
        <v>18890.518603114331</v>
      </c>
      <c r="N37" s="42" t="s">
        <v>91</v>
      </c>
      <c r="O37" s="8">
        <f>O14/N17</f>
        <v>5.1091385412022862E-3</v>
      </c>
      <c r="P37" s="17"/>
      <c r="Q37" s="17"/>
      <c r="R37" s="17"/>
      <c r="S37" s="17"/>
      <c r="T37" s="17"/>
    </row>
    <row r="38" spans="2:20" ht="18" thickBot="1" x14ac:dyDescent="0.4">
      <c r="B38" s="40" t="s">
        <v>54</v>
      </c>
      <c r="C38" s="56">
        <v>121</v>
      </c>
      <c r="F38" s="40" t="s">
        <v>68</v>
      </c>
      <c r="G38" s="8">
        <v>0.6</v>
      </c>
      <c r="H38" s="33"/>
      <c r="J38" s="6" t="s">
        <v>11</v>
      </c>
      <c r="K38" s="11">
        <f>K37</f>
        <v>18890.518603114331</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146007.99275804349</v>
      </c>
      <c r="N66" s="17"/>
      <c r="O66" s="17"/>
      <c r="P66" s="30"/>
      <c r="Q66" s="30"/>
      <c r="R66" s="17"/>
      <c r="S66" s="17"/>
      <c r="T66" s="17"/>
    </row>
    <row r="67" spans="4:20" ht="16.5" x14ac:dyDescent="0.3">
      <c r="F67" s="20"/>
      <c r="G67" s="31"/>
      <c r="H67" s="20"/>
      <c r="J67" s="2" t="s">
        <v>7</v>
      </c>
      <c r="K67" s="3">
        <f>C52*G33*C28</f>
        <v>98974.967625994192</v>
      </c>
      <c r="N67" s="17"/>
      <c r="O67" s="17"/>
      <c r="P67" s="30"/>
      <c r="Q67" s="30"/>
      <c r="R67" s="17"/>
      <c r="S67" s="17"/>
      <c r="T67" s="17"/>
    </row>
    <row r="68" spans="4:20" ht="16.5" x14ac:dyDescent="0.3">
      <c r="F68" s="26"/>
      <c r="G68" s="22"/>
      <c r="H68" s="26"/>
      <c r="J68" s="2" t="s">
        <v>8</v>
      </c>
      <c r="K68" s="3">
        <f>(K65+K66)-K67</f>
        <v>47033.025132049297</v>
      </c>
      <c r="N68" s="17"/>
      <c r="O68" s="17"/>
      <c r="P68" s="30"/>
      <c r="Q68" s="30"/>
      <c r="R68" s="17"/>
      <c r="S68" s="17"/>
      <c r="T68" s="17"/>
    </row>
    <row r="69" spans="4:20" ht="17.25" thickBot="1" x14ac:dyDescent="0.35">
      <c r="F69" s="26"/>
      <c r="G69" s="22"/>
      <c r="H69" s="26"/>
      <c r="J69" s="6" t="s">
        <v>11</v>
      </c>
      <c r="K69" s="11">
        <f>K68</f>
        <v>47033.025132049297</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4206.8342725413922</v>
      </c>
      <c r="N72" s="17"/>
      <c r="O72" s="17"/>
      <c r="P72" s="17"/>
      <c r="Q72" s="17"/>
      <c r="R72" s="17"/>
      <c r="S72" s="17"/>
      <c r="T72" s="17"/>
    </row>
    <row r="73" spans="4:20" ht="16.5" x14ac:dyDescent="0.3">
      <c r="J73" s="19" t="s">
        <v>14</v>
      </c>
      <c r="K73" s="3">
        <f>C53*G34*C29</f>
        <v>1400.5009463359581</v>
      </c>
      <c r="N73" s="17"/>
      <c r="O73" s="17"/>
      <c r="P73" s="17"/>
      <c r="Q73" s="17"/>
      <c r="R73" s="17"/>
      <c r="S73" s="17"/>
      <c r="T73" s="17"/>
    </row>
    <row r="74" spans="4:20" ht="16.5" x14ac:dyDescent="0.3">
      <c r="J74" s="19" t="s">
        <v>15</v>
      </c>
      <c r="K74" s="3">
        <f>K72-K73</f>
        <v>2806.3333262054339</v>
      </c>
      <c r="N74" s="17"/>
      <c r="O74" s="17"/>
      <c r="P74" s="17"/>
      <c r="Q74" s="17"/>
      <c r="R74" s="17"/>
      <c r="S74" s="17"/>
      <c r="T74" s="17"/>
    </row>
    <row r="75" spans="4:20" ht="17.25" thickBot="1" x14ac:dyDescent="0.35">
      <c r="J75" s="21" t="s">
        <v>16</v>
      </c>
      <c r="K75" s="11">
        <f>K74</f>
        <v>2806.3333262054339</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30447.326319608183</v>
      </c>
      <c r="N78" s="17"/>
      <c r="O78" s="17"/>
      <c r="P78" s="17"/>
      <c r="Q78" s="17"/>
      <c r="R78" s="17"/>
      <c r="S78" s="17"/>
      <c r="T78" s="17"/>
    </row>
    <row r="79" spans="4:20" ht="16.5" x14ac:dyDescent="0.3">
      <c r="J79" s="19" t="s">
        <v>14</v>
      </c>
      <c r="K79" s="3">
        <f>C54*G35*C30</f>
        <v>23730.954237266797</v>
      </c>
      <c r="N79" s="17"/>
      <c r="O79" s="17"/>
      <c r="P79" s="17"/>
      <c r="Q79" s="17"/>
      <c r="R79" s="17"/>
      <c r="S79" s="17"/>
      <c r="T79" s="17"/>
    </row>
    <row r="80" spans="4:20" ht="16.5" x14ac:dyDescent="0.3">
      <c r="J80" s="19" t="s">
        <v>15</v>
      </c>
      <c r="K80" s="3">
        <f>K78-K79</f>
        <v>6716.372082341386</v>
      </c>
      <c r="N80" s="17"/>
      <c r="O80" s="17"/>
      <c r="P80" s="17"/>
      <c r="Q80" s="17"/>
      <c r="R80" s="17"/>
      <c r="S80" s="17"/>
      <c r="T80" s="17"/>
    </row>
    <row r="81" spans="10:20" ht="17.25" thickBot="1" x14ac:dyDescent="0.35">
      <c r="J81" s="21" t="s">
        <v>16</v>
      </c>
      <c r="K81" s="11">
        <f>K78-K79</f>
        <v>6716.372082341386</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104</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10996.787564075019</v>
      </c>
    </row>
    <row r="9" spans="1:15" ht="16.5" x14ac:dyDescent="0.3">
      <c r="B9" s="40" t="s">
        <v>57</v>
      </c>
      <c r="C9" s="58">
        <v>6.2</v>
      </c>
      <c r="F9" s="40" t="s">
        <v>47</v>
      </c>
      <c r="G9" s="8">
        <v>0.35</v>
      </c>
      <c r="J9" s="40" t="s">
        <v>62</v>
      </c>
      <c r="K9" s="3">
        <f>SUM(C22:C30)*C9*G11</f>
        <v>1757.6022743282904</v>
      </c>
    </row>
    <row r="10" spans="1:15" ht="16.5" x14ac:dyDescent="0.3">
      <c r="A10" s="32" t="s">
        <v>24</v>
      </c>
      <c r="B10" s="40" t="s">
        <v>80</v>
      </c>
      <c r="C10" s="52">
        <v>0</v>
      </c>
      <c r="F10" s="40" t="s">
        <v>69</v>
      </c>
      <c r="G10" s="8">
        <v>0.38</v>
      </c>
      <c r="J10" s="40" t="s">
        <v>63</v>
      </c>
      <c r="K10" s="3">
        <f>C16*C9*G10</f>
        <v>30.109726499531575</v>
      </c>
      <c r="N10" s="16" t="s">
        <v>13</v>
      </c>
      <c r="O10" s="16">
        <f>C11*G15*G38*G39*G41</f>
        <v>448.11540347119524</v>
      </c>
    </row>
    <row r="11" spans="1:15" x14ac:dyDescent="0.3">
      <c r="B11" s="40" t="s">
        <v>163</v>
      </c>
      <c r="C11" s="52">
        <v>362.69376737826599</v>
      </c>
      <c r="F11" s="40" t="s">
        <v>70</v>
      </c>
      <c r="G11" s="8">
        <v>0.38</v>
      </c>
      <c r="J11" s="40" t="s">
        <v>64</v>
      </c>
      <c r="K11" s="3">
        <f>C17*C9</f>
        <v>215.9463334936753</v>
      </c>
      <c r="N11" s="18"/>
      <c r="O11" s="18"/>
    </row>
    <row r="12" spans="1:15" ht="17.25" thickBot="1" x14ac:dyDescent="0.35">
      <c r="B12" s="40" t="s">
        <v>58</v>
      </c>
      <c r="C12" s="52">
        <v>352000</v>
      </c>
      <c r="F12" s="39" t="s">
        <v>48</v>
      </c>
      <c r="G12" s="10">
        <v>0.38</v>
      </c>
      <c r="J12" s="40" t="s">
        <v>65</v>
      </c>
      <c r="K12" s="3">
        <f>C18*C9*G9</f>
        <v>981.77461618978555</v>
      </c>
      <c r="N12" s="47" t="s">
        <v>81</v>
      </c>
      <c r="O12" s="16">
        <f>C10</f>
        <v>0</v>
      </c>
    </row>
    <row r="13" spans="1:15" ht="15.75" thickBot="1" x14ac:dyDescent="0.35">
      <c r="B13" s="39" t="s">
        <v>56</v>
      </c>
      <c r="C13" s="55">
        <v>212.6772954141824</v>
      </c>
      <c r="J13" s="39" t="s">
        <v>66</v>
      </c>
      <c r="K13" s="11">
        <f>C19*C9*G12</f>
        <v>19.931790781380052</v>
      </c>
      <c r="N13" s="18"/>
      <c r="O13" s="18"/>
    </row>
    <row r="14" spans="1:15" ht="17.25" thickBot="1" x14ac:dyDescent="0.35">
      <c r="C14" s="54"/>
      <c r="F14" s="4" t="s">
        <v>59</v>
      </c>
      <c r="G14" s="5"/>
      <c r="J14" s="106"/>
      <c r="K14" s="106"/>
      <c r="N14" s="47" t="s">
        <v>82</v>
      </c>
      <c r="O14" s="16">
        <f>C9*C13</f>
        <v>1318.5992315679309</v>
      </c>
    </row>
    <row r="15" spans="1:15" ht="17.25" thickBot="1" x14ac:dyDescent="0.35">
      <c r="B15" s="4" t="s">
        <v>51</v>
      </c>
      <c r="C15" s="5"/>
      <c r="F15" s="39" t="s">
        <v>71</v>
      </c>
      <c r="G15" s="41">
        <v>4.8</v>
      </c>
      <c r="J15" s="104" t="s">
        <v>61</v>
      </c>
      <c r="K15" s="103"/>
    </row>
    <row r="16" spans="1:15" ht="17.25" thickBot="1" x14ac:dyDescent="0.35">
      <c r="B16" s="40" t="s">
        <v>32</v>
      </c>
      <c r="C16" s="3">
        <v>12.780019736643283</v>
      </c>
      <c r="J16" s="42" t="s">
        <v>77</v>
      </c>
      <c r="K16" s="36">
        <f>C19*C33*G18*(1-G19)</f>
        <v>184.23370451872384</v>
      </c>
      <c r="N16" s="114" t="s">
        <v>93</v>
      </c>
      <c r="O16" s="115"/>
    </row>
    <row r="17" spans="2:21" ht="16.5" thickTop="1" thickBot="1" x14ac:dyDescent="0.35">
      <c r="B17" s="40" t="s">
        <v>40</v>
      </c>
      <c r="C17" s="3">
        <v>34.830053789302468</v>
      </c>
      <c r="F17" s="4" t="s">
        <v>29</v>
      </c>
      <c r="G17" s="5"/>
      <c r="J17" s="43" t="s">
        <v>78</v>
      </c>
      <c r="K17" s="7">
        <f>SUM(K32,K38,K44,K50,K56,K62,K69,K75,K81)</f>
        <v>40190.234154090067</v>
      </c>
      <c r="N17" s="108">
        <f>O8+O10+O12+O14</f>
        <v>12763.502199114144</v>
      </c>
      <c r="O17" s="108"/>
    </row>
    <row r="18" spans="2:21" ht="15.75" thickBot="1" x14ac:dyDescent="0.35">
      <c r="B18" s="40" t="s">
        <v>31</v>
      </c>
      <c r="C18" s="3">
        <v>452.43069870497027</v>
      </c>
      <c r="F18" s="2" t="s">
        <v>1</v>
      </c>
      <c r="G18" s="8">
        <v>0.34</v>
      </c>
      <c r="J18" s="22"/>
      <c r="K18" s="22"/>
      <c r="N18" s="109"/>
      <c r="O18" s="109"/>
    </row>
    <row r="19" spans="2:21" ht="15.75" thickBot="1" x14ac:dyDescent="0.35">
      <c r="B19" s="39" t="s">
        <v>41</v>
      </c>
      <c r="C19" s="11">
        <v>8.4600130651018901</v>
      </c>
      <c r="F19" s="6" t="s">
        <v>2</v>
      </c>
      <c r="G19" s="10">
        <v>0.39</v>
      </c>
      <c r="J19" s="110" t="s">
        <v>67</v>
      </c>
      <c r="K19" s="111"/>
    </row>
    <row r="20" spans="2:21" ht="17.25" thickBot="1" x14ac:dyDescent="0.35">
      <c r="C20" s="54"/>
      <c r="J20" s="2" t="s">
        <v>9</v>
      </c>
      <c r="K20" s="3">
        <f>C12*G23*(1-G24)</f>
        <v>9504</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7.5647793325613994</v>
      </c>
      <c r="F22" s="40" t="s">
        <v>43</v>
      </c>
      <c r="G22" s="8">
        <v>0.39</v>
      </c>
      <c r="J22" s="22"/>
      <c r="K22" s="22"/>
      <c r="N22" s="40" t="s">
        <v>84</v>
      </c>
      <c r="O22" s="48">
        <f>SUM(K9:K13)*G40*G41/N17</f>
        <v>5.9690510490965971E-2</v>
      </c>
      <c r="P22" s="17"/>
      <c r="Q22" s="17"/>
      <c r="R22" s="17"/>
      <c r="S22" s="29"/>
      <c r="T22" s="29"/>
      <c r="U22" s="13"/>
    </row>
    <row r="23" spans="2:21" ht="16.5" x14ac:dyDescent="0.35">
      <c r="B23" s="75" t="s">
        <v>34</v>
      </c>
      <c r="C23" s="52">
        <v>220.75401506838261</v>
      </c>
      <c r="F23" s="40" t="s">
        <v>3</v>
      </c>
      <c r="G23" s="12">
        <v>5.3999999999999999E-2</v>
      </c>
      <c r="J23" s="22"/>
      <c r="K23" s="22"/>
      <c r="N23" s="40" t="s">
        <v>85</v>
      </c>
      <c r="O23" s="49">
        <f>K16*G40*G41/N17</f>
        <v>3.6591245386190284E-3</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3.4284199130205665E-3</v>
      </c>
      <c r="P25" s="17"/>
      <c r="Q25" s="17"/>
      <c r="R25" s="17"/>
      <c r="S25" s="27"/>
      <c r="T25" s="27"/>
      <c r="U25" s="14"/>
    </row>
    <row r="26" spans="2:21" ht="16.5" x14ac:dyDescent="0.35">
      <c r="B26" s="75" t="s">
        <v>36</v>
      </c>
      <c r="C26" s="52">
        <v>0</v>
      </c>
      <c r="F26" s="2"/>
      <c r="G26" s="3"/>
      <c r="J26" s="107" t="s">
        <v>73</v>
      </c>
      <c r="K26" s="107"/>
      <c r="N26" s="40" t="s">
        <v>34</v>
      </c>
      <c r="O26" s="8">
        <f>K38*G40*G41/N17</f>
        <v>0.16611421141897117</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323.22238966398697</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58.303940040767721</v>
      </c>
      <c r="F29" s="40" t="s">
        <v>198</v>
      </c>
      <c r="G29" s="99">
        <v>3.8750500000000005E-3</v>
      </c>
      <c r="J29" s="40" t="s">
        <v>75</v>
      </c>
      <c r="K29" s="3">
        <f>C35*C22</f>
        <v>832.12572658175395</v>
      </c>
      <c r="N29" s="40" t="s">
        <v>36</v>
      </c>
      <c r="O29" s="8">
        <f>K56*G40*G41/N17</f>
        <v>0</v>
      </c>
      <c r="P29" s="17"/>
      <c r="Q29" s="17"/>
      <c r="R29" s="17"/>
      <c r="S29" s="27"/>
      <c r="T29" s="27"/>
      <c r="U29" s="14"/>
    </row>
    <row r="30" spans="2:21" ht="17.25" thickBot="1" x14ac:dyDescent="0.35">
      <c r="B30" s="39" t="s">
        <v>39</v>
      </c>
      <c r="C30" s="55">
        <v>136.16602798610518</v>
      </c>
      <c r="F30" s="42" t="s">
        <v>199</v>
      </c>
      <c r="G30" s="99">
        <v>1.8E-3</v>
      </c>
      <c r="J30" s="2" t="s">
        <v>7</v>
      </c>
      <c r="K30" s="3">
        <f>C46*G27*C22</f>
        <v>659.50779719585762</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172.61792938589633</v>
      </c>
      <c r="M31" s="17"/>
      <c r="N31" s="40" t="s">
        <v>87</v>
      </c>
      <c r="O31" s="8">
        <f>K69*G40*G41/N17</f>
        <v>0.41358599224327169</v>
      </c>
      <c r="P31" s="17"/>
      <c r="Q31" s="17"/>
      <c r="R31" s="17"/>
      <c r="S31" s="27"/>
      <c r="T31" s="27"/>
      <c r="U31" s="14"/>
    </row>
    <row r="32" spans="2:21" ht="17.25" thickBot="1" x14ac:dyDescent="0.35">
      <c r="B32" s="4" t="s">
        <v>72</v>
      </c>
      <c r="C32" s="5"/>
      <c r="F32" s="40" t="s">
        <v>201</v>
      </c>
      <c r="G32" s="99">
        <v>1.6585714285714283E-2</v>
      </c>
      <c r="J32" s="6" t="s">
        <v>11</v>
      </c>
      <c r="K32" s="11">
        <f>K31</f>
        <v>172.61792938589633</v>
      </c>
      <c r="M32" s="17"/>
      <c r="N32" s="40" t="s">
        <v>53</v>
      </c>
      <c r="O32" s="8">
        <f>K75*G40*G41/N17</f>
        <v>0.15604190016756694</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5.9060572951692175E-2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33554.610290394157</v>
      </c>
      <c r="N35" s="42" t="s">
        <v>89</v>
      </c>
      <c r="O35" s="8">
        <f>O10/N17</f>
        <v>3.5109125730577055E-2</v>
      </c>
      <c r="P35" s="17"/>
      <c r="Q35" s="17"/>
      <c r="R35" s="17"/>
      <c r="S35" s="17"/>
      <c r="T35" s="17"/>
    </row>
    <row r="36" spans="2:20" ht="17.25" thickBot="1" x14ac:dyDescent="0.35">
      <c r="B36" s="75" t="s">
        <v>34</v>
      </c>
      <c r="C36" s="52">
        <v>152</v>
      </c>
      <c r="J36" s="2" t="s">
        <v>7</v>
      </c>
      <c r="K36" s="3">
        <f>C47*G28*C23</f>
        <v>25190.905743056286</v>
      </c>
      <c r="N36" s="42" t="s">
        <v>90</v>
      </c>
      <c r="O36" s="8">
        <f>O12/N17</f>
        <v>0</v>
      </c>
      <c r="P36" s="17"/>
      <c r="Q36" s="17"/>
      <c r="R36" s="17"/>
      <c r="S36" s="17"/>
      <c r="T36" s="17"/>
    </row>
    <row r="37" spans="2:20" ht="16.5" x14ac:dyDescent="0.3">
      <c r="B37" s="75" t="s">
        <v>35</v>
      </c>
      <c r="C37" s="52">
        <v>152</v>
      </c>
      <c r="F37" s="4" t="s">
        <v>30</v>
      </c>
      <c r="G37" s="15"/>
      <c r="H37" s="35"/>
      <c r="J37" s="2" t="s">
        <v>8</v>
      </c>
      <c r="K37" s="36">
        <f>K35-K36</f>
        <v>8363.7045473378712</v>
      </c>
      <c r="N37" s="42" t="s">
        <v>91</v>
      </c>
      <c r="O37" s="8">
        <f>O14/N17</f>
        <v>0.10331014254531556</v>
      </c>
      <c r="P37" s="17"/>
      <c r="Q37" s="17"/>
      <c r="R37" s="17"/>
      <c r="S37" s="17"/>
      <c r="T37" s="17"/>
    </row>
    <row r="38" spans="2:20" ht="18" thickBot="1" x14ac:dyDescent="0.4">
      <c r="B38" s="40" t="s">
        <v>54</v>
      </c>
      <c r="C38" s="56">
        <v>121</v>
      </c>
      <c r="F38" s="40" t="s">
        <v>68</v>
      </c>
      <c r="G38" s="8">
        <v>0.6</v>
      </c>
      <c r="H38" s="33"/>
      <c r="J38" s="6" t="s">
        <v>11</v>
      </c>
      <c r="K38" s="11">
        <f>K37</f>
        <v>8363.7045473378712</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B55" s="32"/>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64644.477932797396</v>
      </c>
      <c r="N66" s="17"/>
      <c r="O66" s="17"/>
      <c r="P66" s="30"/>
      <c r="Q66" s="30"/>
      <c r="R66" s="17"/>
      <c r="S66" s="17"/>
      <c r="T66" s="17"/>
    </row>
    <row r="67" spans="4:20" ht="16.5" x14ac:dyDescent="0.3">
      <c r="F67" s="20"/>
      <c r="G67" s="31"/>
      <c r="H67" s="20"/>
      <c r="J67" s="2" t="s">
        <v>7</v>
      </c>
      <c r="K67" s="3">
        <f>C52*G33*C28</f>
        <v>43820.786723646299</v>
      </c>
      <c r="N67" s="17"/>
      <c r="O67" s="17"/>
      <c r="P67" s="30"/>
      <c r="Q67" s="30"/>
      <c r="R67" s="17"/>
      <c r="S67" s="17"/>
      <c r="T67" s="17"/>
    </row>
    <row r="68" spans="4:20" ht="16.5" x14ac:dyDescent="0.3">
      <c r="F68" s="26"/>
      <c r="G68" s="22"/>
      <c r="H68" s="26"/>
      <c r="J68" s="2" t="s">
        <v>8</v>
      </c>
      <c r="K68" s="3">
        <f>(K65+K66)-K67</f>
        <v>20823.691209151097</v>
      </c>
      <c r="N68" s="17"/>
      <c r="O68" s="17"/>
      <c r="P68" s="30"/>
      <c r="Q68" s="30"/>
      <c r="R68" s="17"/>
      <c r="S68" s="17"/>
      <c r="T68" s="17"/>
    </row>
    <row r="69" spans="4:20" ht="17.25" thickBot="1" x14ac:dyDescent="0.35">
      <c r="F69" s="26"/>
      <c r="G69" s="22"/>
      <c r="H69" s="26"/>
      <c r="J69" s="6" t="s">
        <v>11</v>
      </c>
      <c r="K69" s="11">
        <f>K68</f>
        <v>20823.691209151097</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11777.39588823508</v>
      </c>
      <c r="N72" s="17"/>
      <c r="O72" s="17"/>
      <c r="P72" s="17"/>
      <c r="Q72" s="17"/>
      <c r="R72" s="17"/>
      <c r="S72" s="17"/>
      <c r="T72" s="17"/>
    </row>
    <row r="73" spans="4:20" ht="16.5" x14ac:dyDescent="0.3">
      <c r="J73" s="19" t="s">
        <v>14</v>
      </c>
      <c r="K73" s="3">
        <f>C53*G34*C29</f>
        <v>3920.8233598615479</v>
      </c>
      <c r="N73" s="17"/>
      <c r="O73" s="17"/>
      <c r="P73" s="17"/>
      <c r="Q73" s="17"/>
      <c r="R73" s="17"/>
      <c r="S73" s="17"/>
      <c r="T73" s="17"/>
    </row>
    <row r="74" spans="4:20" ht="16.5" x14ac:dyDescent="0.3">
      <c r="J74" s="19" t="s">
        <v>15</v>
      </c>
      <c r="K74" s="3">
        <f>K72-K73</f>
        <v>7856.5725283735319</v>
      </c>
      <c r="N74" s="17"/>
      <c r="O74" s="17"/>
      <c r="P74" s="17"/>
      <c r="Q74" s="17"/>
      <c r="R74" s="17"/>
      <c r="S74" s="17"/>
      <c r="T74" s="17"/>
    </row>
    <row r="75" spans="4:20" ht="17.25" thickBot="1" x14ac:dyDescent="0.35">
      <c r="J75" s="21" t="s">
        <v>16</v>
      </c>
      <c r="K75" s="11">
        <f>K74</f>
        <v>7856.5725283735319</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13480.436770624412</v>
      </c>
      <c r="N78" s="17"/>
      <c r="O78" s="17"/>
      <c r="P78" s="17"/>
      <c r="Q78" s="17"/>
      <c r="R78" s="17"/>
      <c r="S78" s="17"/>
      <c r="T78" s="17"/>
    </row>
    <row r="79" spans="4:20" ht="16.5" x14ac:dyDescent="0.3">
      <c r="J79" s="19" t="s">
        <v>14</v>
      </c>
      <c r="K79" s="3">
        <f>C54*G35*C30</f>
        <v>10506.788830782738</v>
      </c>
      <c r="N79" s="17"/>
      <c r="O79" s="17"/>
      <c r="P79" s="17"/>
      <c r="Q79" s="17"/>
      <c r="R79" s="17"/>
      <c r="S79" s="17"/>
      <c r="T79" s="17"/>
    </row>
    <row r="80" spans="4:20" ht="16.5" x14ac:dyDescent="0.3">
      <c r="J80" s="19" t="s">
        <v>15</v>
      </c>
      <c r="K80" s="3">
        <f>K78-K79</f>
        <v>2973.6479398416741</v>
      </c>
      <c r="N80" s="17"/>
      <c r="O80" s="17"/>
      <c r="P80" s="17"/>
      <c r="Q80" s="17"/>
      <c r="R80" s="17"/>
      <c r="S80" s="17"/>
      <c r="T80" s="17"/>
    </row>
    <row r="81" spans="10:20" ht="17.25" thickBot="1" x14ac:dyDescent="0.35">
      <c r="J81" s="21" t="s">
        <v>16</v>
      </c>
      <c r="K81" s="11">
        <f>K78-K79</f>
        <v>2973.6479398416741</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105</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21832.15494454926</v>
      </c>
    </row>
    <row r="9" spans="1:15" ht="16.5" x14ac:dyDescent="0.3">
      <c r="B9" s="40" t="s">
        <v>57</v>
      </c>
      <c r="C9" s="58">
        <v>6.2</v>
      </c>
      <c r="F9" s="40" t="s">
        <v>47</v>
      </c>
      <c r="G9" s="8">
        <v>0.35</v>
      </c>
      <c r="J9" s="40" t="s">
        <v>62</v>
      </c>
      <c r="K9" s="3">
        <f>SUM(C22:C30)*C9*G11</f>
        <v>3464.3148700658212</v>
      </c>
    </row>
    <row r="10" spans="1:15" ht="16.5" x14ac:dyDescent="0.3">
      <c r="A10" s="32" t="s">
        <v>24</v>
      </c>
      <c r="B10" s="40" t="s">
        <v>80</v>
      </c>
      <c r="C10" s="52">
        <v>0</v>
      </c>
      <c r="F10" s="40" t="s">
        <v>69</v>
      </c>
      <c r="G10" s="8">
        <v>0.38</v>
      </c>
      <c r="J10" s="40" t="s">
        <v>63</v>
      </c>
      <c r="K10" s="3">
        <f>C16*C9*G10</f>
        <v>72.305751664368074</v>
      </c>
      <c r="N10" s="16" t="s">
        <v>13</v>
      </c>
      <c r="O10" s="16">
        <f>C11*G15*G38*G39*G41</f>
        <v>872.75233414775994</v>
      </c>
    </row>
    <row r="11" spans="1:15" x14ac:dyDescent="0.3">
      <c r="B11" s="40" t="s">
        <v>163</v>
      </c>
      <c r="C11" s="52">
        <v>706.38462683547004</v>
      </c>
      <c r="F11" s="40" t="s">
        <v>70</v>
      </c>
      <c r="G11" s="8">
        <v>0.38</v>
      </c>
      <c r="J11" s="40" t="s">
        <v>64</v>
      </c>
      <c r="K11" s="3">
        <f>C17*C9</f>
        <v>761.11317541440076</v>
      </c>
      <c r="N11" s="18"/>
      <c r="O11" s="18"/>
    </row>
    <row r="12" spans="1:15" ht="17.25" thickBot="1" x14ac:dyDescent="0.35">
      <c r="B12" s="40" t="s">
        <v>58</v>
      </c>
      <c r="C12" s="52">
        <v>440000</v>
      </c>
      <c r="F12" s="39" t="s">
        <v>48</v>
      </c>
      <c r="G12" s="10">
        <v>0.38</v>
      </c>
      <c r="J12" s="40" t="s">
        <v>65</v>
      </c>
      <c r="K12" s="3">
        <f>C18*C9*G9</f>
        <v>2401.6078088891572</v>
      </c>
      <c r="N12" s="47" t="s">
        <v>81</v>
      </c>
      <c r="O12" s="16">
        <f>C10</f>
        <v>0</v>
      </c>
    </row>
    <row r="13" spans="1:15" ht="15.75" thickBot="1" x14ac:dyDescent="0.35">
      <c r="B13" s="39" t="s">
        <v>56</v>
      </c>
      <c r="C13" s="55">
        <v>119.54944585450106</v>
      </c>
      <c r="J13" s="39" t="s">
        <v>66</v>
      </c>
      <c r="K13" s="11">
        <f>C19*C9*G12</f>
        <v>72.093711336906594</v>
      </c>
      <c r="N13" s="18"/>
      <c r="O13" s="18"/>
    </row>
    <row r="14" spans="1:15" ht="17.25" thickBot="1" x14ac:dyDescent="0.35">
      <c r="C14" s="54"/>
      <c r="F14" s="4" t="s">
        <v>59</v>
      </c>
      <c r="G14" s="5"/>
      <c r="J14" s="106"/>
      <c r="K14" s="106"/>
      <c r="N14" s="47" t="s">
        <v>82</v>
      </c>
      <c r="O14" s="16">
        <f>C9*C13</f>
        <v>741.20656429790654</v>
      </c>
    </row>
    <row r="15" spans="1:15" ht="17.25" thickBot="1" x14ac:dyDescent="0.35">
      <c r="B15" s="4" t="s">
        <v>51</v>
      </c>
      <c r="C15" s="5"/>
      <c r="F15" s="39" t="s">
        <v>71</v>
      </c>
      <c r="G15" s="41">
        <v>4.8</v>
      </c>
      <c r="J15" s="104" t="s">
        <v>61</v>
      </c>
      <c r="K15" s="103"/>
    </row>
    <row r="16" spans="1:15" ht="17.25" thickBot="1" x14ac:dyDescent="0.35">
      <c r="B16" s="40" t="s">
        <v>32</v>
      </c>
      <c r="C16" s="3">
        <v>30.690047395741967</v>
      </c>
      <c r="J16" s="42" t="s">
        <v>77</v>
      </c>
      <c r="K16" s="36">
        <f>C19*C33*G18*(1-G19)</f>
        <v>666.37722911027799</v>
      </c>
      <c r="N16" s="114" t="s">
        <v>93</v>
      </c>
      <c r="O16" s="115"/>
    </row>
    <row r="17" spans="2:21" ht="16.5" thickTop="1" thickBot="1" x14ac:dyDescent="0.35">
      <c r="B17" s="40" t="s">
        <v>40</v>
      </c>
      <c r="C17" s="3">
        <v>122.76018958296785</v>
      </c>
      <c r="F17" s="4" t="s">
        <v>29</v>
      </c>
      <c r="G17" s="5"/>
      <c r="J17" s="43" t="s">
        <v>78</v>
      </c>
      <c r="K17" s="7">
        <f>SUM(K32,K38,K44,K50,K56,K62,K69,K75,K81)</f>
        <v>78685.086643062503</v>
      </c>
      <c r="N17" s="108">
        <f>O8+O10+O12+O14</f>
        <v>23446.113842994928</v>
      </c>
      <c r="O17" s="108"/>
    </row>
    <row r="18" spans="2:21" ht="15.75" thickBot="1" x14ac:dyDescent="0.35">
      <c r="B18" s="40" t="s">
        <v>31</v>
      </c>
      <c r="C18" s="3">
        <v>1106.7317091655102</v>
      </c>
      <c r="F18" s="2" t="s">
        <v>1</v>
      </c>
      <c r="G18" s="8">
        <v>0.34</v>
      </c>
      <c r="J18" s="22"/>
      <c r="K18" s="22"/>
      <c r="N18" s="109"/>
      <c r="O18" s="109"/>
    </row>
    <row r="19" spans="2:21" ht="15.75" thickBot="1" x14ac:dyDescent="0.35">
      <c r="B19" s="39" t="s">
        <v>41</v>
      </c>
      <c r="C19" s="11">
        <v>30.600047256751523</v>
      </c>
      <c r="F19" s="6" t="s">
        <v>2</v>
      </c>
      <c r="G19" s="10">
        <v>0.39</v>
      </c>
      <c r="J19" s="110" t="s">
        <v>67</v>
      </c>
      <c r="K19" s="111"/>
    </row>
    <row r="20" spans="2:21" ht="17.25" thickBot="1" x14ac:dyDescent="0.35">
      <c r="C20" s="54"/>
      <c r="J20" s="2" t="s">
        <v>9</v>
      </c>
      <c r="K20" s="3">
        <f>C12*G23*(1-G24)</f>
        <v>11880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14.977192256379281</v>
      </c>
      <c r="F22" s="40" t="s">
        <v>43</v>
      </c>
      <c r="G22" s="8">
        <v>0.39</v>
      </c>
      <c r="J22" s="22"/>
      <c r="K22" s="22"/>
      <c r="N22" s="40" t="s">
        <v>84</v>
      </c>
      <c r="O22" s="48">
        <f>SUM(K9:K13)*G40*G41/N17</f>
        <v>7.3212936883624444E-2</v>
      </c>
      <c r="P22" s="17"/>
      <c r="Q22" s="17"/>
      <c r="R22" s="17"/>
      <c r="S22" s="29"/>
      <c r="T22" s="29"/>
      <c r="U22" s="13"/>
    </row>
    <row r="23" spans="2:21" ht="16.5" x14ac:dyDescent="0.35">
      <c r="B23" s="75" t="s">
        <v>34</v>
      </c>
      <c r="C23" s="52">
        <v>437.061701299795</v>
      </c>
      <c r="F23" s="40" t="s">
        <v>3</v>
      </c>
      <c r="G23" s="12">
        <v>5.3999999999999999E-2</v>
      </c>
      <c r="J23" s="22"/>
      <c r="K23" s="22"/>
      <c r="N23" s="40" t="s">
        <v>85</v>
      </c>
      <c r="O23" s="49">
        <f>K16*G40*G41/N17</f>
        <v>7.204888140979757E-3</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3.6951080115483351E-3</v>
      </c>
      <c r="P25" s="17"/>
      <c r="Q25" s="17"/>
      <c r="R25" s="17"/>
      <c r="S25" s="27"/>
      <c r="T25" s="27"/>
      <c r="U25" s="14"/>
    </row>
    <row r="26" spans="2:21" ht="16.5" x14ac:dyDescent="0.35">
      <c r="B26" s="75" t="s">
        <v>36</v>
      </c>
      <c r="C26" s="52">
        <v>0</v>
      </c>
      <c r="F26" s="2"/>
      <c r="G26" s="3"/>
      <c r="J26" s="107" t="s">
        <v>73</v>
      </c>
      <c r="K26" s="107"/>
      <c r="N26" s="40" t="s">
        <v>34</v>
      </c>
      <c r="O26" s="8">
        <f>K38*G40*G41/N17</f>
        <v>0.17903581504562091</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639.93457822711468</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108.85933842778437</v>
      </c>
      <c r="F29" s="40" t="s">
        <v>198</v>
      </c>
      <c r="G29" s="99">
        <v>3.8750500000000005E-3</v>
      </c>
      <c r="J29" s="40" t="s">
        <v>75</v>
      </c>
      <c r="K29" s="3">
        <f>C35*C22</f>
        <v>1647.491148201721</v>
      </c>
      <c r="N29" s="40" t="s">
        <v>36</v>
      </c>
      <c r="O29" s="8">
        <f>K56*G40*G41/N17</f>
        <v>0</v>
      </c>
      <c r="P29" s="17"/>
      <c r="Q29" s="17"/>
      <c r="R29" s="17"/>
      <c r="S29" s="27"/>
      <c r="T29" s="27"/>
      <c r="U29" s="14"/>
    </row>
    <row r="30" spans="2:21" ht="17.25" thickBot="1" x14ac:dyDescent="0.35">
      <c r="B30" s="39" t="s">
        <v>39</v>
      </c>
      <c r="C30" s="55">
        <v>269.58946061482703</v>
      </c>
      <c r="F30" s="42" t="s">
        <v>199</v>
      </c>
      <c r="G30" s="99">
        <v>1.8E-3</v>
      </c>
      <c r="J30" s="2" t="s">
        <v>7</v>
      </c>
      <c r="K30" s="3">
        <f>C46*G27*C22</f>
        <v>1305.7320827148378</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341.75906548688317</v>
      </c>
      <c r="M31" s="17"/>
      <c r="N31" s="40" t="s">
        <v>87</v>
      </c>
      <c r="O31" s="8">
        <f>K69*G40*G41/N17</f>
        <v>0.44575779868687104</v>
      </c>
      <c r="P31" s="17"/>
      <c r="Q31" s="17"/>
      <c r="R31" s="17"/>
      <c r="S31" s="27"/>
      <c r="T31" s="27"/>
      <c r="U31" s="14"/>
    </row>
    <row r="32" spans="2:21" ht="17.25" thickBot="1" x14ac:dyDescent="0.35">
      <c r="B32" s="4" t="s">
        <v>72</v>
      </c>
      <c r="C32" s="5"/>
      <c r="F32" s="40" t="s">
        <v>201</v>
      </c>
      <c r="G32" s="99">
        <v>1.6585714285714283E-2</v>
      </c>
      <c r="J32" s="6" t="s">
        <v>11</v>
      </c>
      <c r="K32" s="11">
        <f>K31</f>
        <v>341.75906548688317</v>
      </c>
      <c r="M32" s="17"/>
      <c r="N32" s="40" t="s">
        <v>53</v>
      </c>
      <c r="O32" s="8">
        <f>K75*G40*G41/N17</f>
        <v>0.15860176084437083</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6.365474528123348E-2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66433.378597568837</v>
      </c>
      <c r="N35" s="42" t="s">
        <v>89</v>
      </c>
      <c r="O35" s="8">
        <f>O10/N17</f>
        <v>3.722375230249575E-2</v>
      </c>
      <c r="P35" s="17"/>
      <c r="Q35" s="17"/>
      <c r="R35" s="17"/>
      <c r="S35" s="17"/>
      <c r="T35" s="17"/>
    </row>
    <row r="36" spans="2:20" ht="17.25" thickBot="1" x14ac:dyDescent="0.35">
      <c r="B36" s="75" t="s">
        <v>34</v>
      </c>
      <c r="C36" s="52">
        <v>152</v>
      </c>
      <c r="J36" s="2" t="s">
        <v>7</v>
      </c>
      <c r="K36" s="3">
        <f>C47*G28*C23</f>
        <v>49874.427506708831</v>
      </c>
      <c r="N36" s="42" t="s">
        <v>90</v>
      </c>
      <c r="O36" s="8">
        <f>O12/N17</f>
        <v>0</v>
      </c>
      <c r="P36" s="17"/>
      <c r="Q36" s="17"/>
      <c r="R36" s="17"/>
      <c r="S36" s="17"/>
      <c r="T36" s="17"/>
    </row>
    <row r="37" spans="2:20" ht="16.5" x14ac:dyDescent="0.3">
      <c r="B37" s="75" t="s">
        <v>35</v>
      </c>
      <c r="C37" s="52">
        <v>152</v>
      </c>
      <c r="F37" s="4" t="s">
        <v>30</v>
      </c>
      <c r="G37" s="15"/>
      <c r="H37" s="35"/>
      <c r="J37" s="2" t="s">
        <v>8</v>
      </c>
      <c r="K37" s="36">
        <f>K35-K36</f>
        <v>16558.951090860006</v>
      </c>
      <c r="N37" s="42" t="s">
        <v>91</v>
      </c>
      <c r="O37" s="8">
        <f>O14/N17</f>
        <v>3.1613194803255605E-2</v>
      </c>
      <c r="P37" s="17"/>
      <c r="Q37" s="17"/>
      <c r="R37" s="17"/>
      <c r="S37" s="17"/>
      <c r="T37" s="17"/>
    </row>
    <row r="38" spans="2:20" ht="18" thickBot="1" x14ac:dyDescent="0.4">
      <c r="B38" s="40" t="s">
        <v>54</v>
      </c>
      <c r="C38" s="56">
        <v>121</v>
      </c>
      <c r="F38" s="40" t="s">
        <v>68</v>
      </c>
      <c r="G38" s="8">
        <v>0.6</v>
      </c>
      <c r="H38" s="33"/>
      <c r="J38" s="6" t="s">
        <v>11</v>
      </c>
      <c r="K38" s="11">
        <f>K37</f>
        <v>16558.951090860006</v>
      </c>
      <c r="N38" s="50" t="s">
        <v>92</v>
      </c>
      <c r="O38" s="51">
        <f>SUM(O22:O37)</f>
        <v>1.0000000000000002</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127986.91564542294</v>
      </c>
      <c r="N66" s="17"/>
      <c r="O66" s="17"/>
      <c r="P66" s="30"/>
      <c r="Q66" s="30"/>
      <c r="R66" s="17"/>
      <c r="S66" s="17"/>
      <c r="T66" s="17"/>
    </row>
    <row r="67" spans="4:20" ht="16.5" x14ac:dyDescent="0.3">
      <c r="F67" s="20"/>
      <c r="G67" s="31"/>
      <c r="H67" s="20"/>
      <c r="J67" s="2" t="s">
        <v>7</v>
      </c>
      <c r="K67" s="3">
        <f>C52*G33*C28</f>
        <v>86758.954720708178</v>
      </c>
      <c r="N67" s="17"/>
      <c r="O67" s="17"/>
      <c r="P67" s="30"/>
      <c r="Q67" s="30"/>
      <c r="R67" s="17"/>
      <c r="S67" s="17"/>
      <c r="T67" s="17"/>
    </row>
    <row r="68" spans="4:20" ht="16.5" x14ac:dyDescent="0.3">
      <c r="F68" s="26"/>
      <c r="G68" s="22"/>
      <c r="H68" s="26"/>
      <c r="J68" s="2" t="s">
        <v>8</v>
      </c>
      <c r="K68" s="3">
        <f>(K65+K66)-K67</f>
        <v>41227.96092471476</v>
      </c>
      <c r="N68" s="17"/>
      <c r="O68" s="17"/>
      <c r="P68" s="30"/>
      <c r="Q68" s="30"/>
      <c r="R68" s="17"/>
      <c r="S68" s="17"/>
      <c r="T68" s="17"/>
    </row>
    <row r="69" spans="4:20" ht="17.25" thickBot="1" x14ac:dyDescent="0.35">
      <c r="F69" s="26"/>
      <c r="G69" s="22"/>
      <c r="H69" s="26"/>
      <c r="J69" s="6" t="s">
        <v>11</v>
      </c>
      <c r="K69" s="11">
        <f>K68</f>
        <v>41227.96092471476</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21989.586362412443</v>
      </c>
      <c r="N72" s="17"/>
      <c r="O72" s="17"/>
      <c r="P72" s="17"/>
      <c r="Q72" s="17"/>
      <c r="R72" s="17"/>
      <c r="S72" s="17"/>
      <c r="T72" s="17"/>
    </row>
    <row r="73" spans="4:20" ht="16.5" x14ac:dyDescent="0.3">
      <c r="J73" s="19" t="s">
        <v>14</v>
      </c>
      <c r="K73" s="3">
        <f>C53*G34*C29</f>
        <v>7320.5727905916438</v>
      </c>
      <c r="N73" s="17"/>
      <c r="O73" s="17"/>
      <c r="P73" s="17"/>
      <c r="Q73" s="17"/>
      <c r="R73" s="17"/>
      <c r="S73" s="17"/>
      <c r="T73" s="17"/>
    </row>
    <row r="74" spans="4:20" ht="16.5" x14ac:dyDescent="0.3">
      <c r="J74" s="19" t="s">
        <v>15</v>
      </c>
      <c r="K74" s="3">
        <f>K72-K73</f>
        <v>14669.0135718208</v>
      </c>
      <c r="N74" s="17"/>
      <c r="O74" s="17"/>
      <c r="P74" s="17"/>
      <c r="Q74" s="17"/>
      <c r="R74" s="17"/>
      <c r="S74" s="17"/>
      <c r="T74" s="17"/>
    </row>
    <row r="75" spans="4:20" ht="17.25" thickBot="1" x14ac:dyDescent="0.35">
      <c r="J75" s="21" t="s">
        <v>16</v>
      </c>
      <c r="K75" s="11">
        <f>K74</f>
        <v>14669.0135718208</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26689.356600867875</v>
      </c>
      <c r="N78" s="17"/>
      <c r="O78" s="17"/>
      <c r="P78" s="17"/>
      <c r="Q78" s="17"/>
      <c r="R78" s="17"/>
      <c r="S78" s="17"/>
      <c r="T78" s="17"/>
    </row>
    <row r="79" spans="4:20" ht="16.5" x14ac:dyDescent="0.3">
      <c r="J79" s="19" t="s">
        <v>14</v>
      </c>
      <c r="K79" s="3">
        <f>C54*G35*C30</f>
        <v>20801.954610687819</v>
      </c>
      <c r="N79" s="17"/>
      <c r="O79" s="17"/>
      <c r="P79" s="17"/>
      <c r="Q79" s="17"/>
      <c r="R79" s="17"/>
      <c r="S79" s="17"/>
      <c r="T79" s="17"/>
    </row>
    <row r="80" spans="4:20" ht="16.5" x14ac:dyDescent="0.3">
      <c r="J80" s="19" t="s">
        <v>15</v>
      </c>
      <c r="K80" s="3">
        <f>K78-K79</f>
        <v>5887.4019901800566</v>
      </c>
      <c r="N80" s="17"/>
      <c r="O80" s="17"/>
      <c r="P80" s="17"/>
      <c r="Q80" s="17"/>
      <c r="R80" s="17"/>
      <c r="S80" s="17"/>
      <c r="T80" s="17"/>
    </row>
    <row r="81" spans="10:20" ht="17.25" thickBot="1" x14ac:dyDescent="0.35">
      <c r="J81" s="21" t="s">
        <v>16</v>
      </c>
      <c r="K81" s="11">
        <f>K78-K79</f>
        <v>5887.4019901800566</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88"/>
  <sheetViews>
    <sheetView zoomScaleNormal="10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5.375" style="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116</v>
      </c>
    </row>
    <row r="3" spans="1:15" ht="42.75" customHeight="1" x14ac:dyDescent="0.4">
      <c r="B3" s="101" t="s">
        <v>186</v>
      </c>
      <c r="C3" s="101"/>
      <c r="D3" s="101"/>
      <c r="E3" s="101"/>
      <c r="F3" s="101"/>
      <c r="G3" s="101"/>
      <c r="H3" s="101"/>
      <c r="I3" s="101"/>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(K9+K10+(K11*(1-C60))+K12+K13+K16+K17+K21)*G41*G42</f>
        <v>0</v>
      </c>
    </row>
    <row r="9" spans="1:15" ht="16.5" x14ac:dyDescent="0.3">
      <c r="B9" s="40" t="s">
        <v>57</v>
      </c>
      <c r="C9" s="97"/>
      <c r="F9" s="40" t="s">
        <v>47</v>
      </c>
      <c r="G9" s="8">
        <v>0.35</v>
      </c>
      <c r="J9" s="40" t="s">
        <v>62</v>
      </c>
      <c r="K9" s="3">
        <f>SUM(C24:C32)*C9*G11</f>
        <v>0</v>
      </c>
    </row>
    <row r="10" spans="1:15" ht="16.5" x14ac:dyDescent="0.3">
      <c r="A10" s="32" t="s">
        <v>24</v>
      </c>
      <c r="B10" s="40" t="s">
        <v>80</v>
      </c>
      <c r="C10" s="52"/>
      <c r="F10" s="40" t="s">
        <v>69</v>
      </c>
      <c r="G10" s="8">
        <v>0.38</v>
      </c>
      <c r="J10" s="40" t="s">
        <v>63</v>
      </c>
      <c r="K10" s="3">
        <f>C18*C9*G10</f>
        <v>0</v>
      </c>
      <c r="N10" s="47" t="s">
        <v>158</v>
      </c>
      <c r="O10" s="16">
        <f>(C11*G15*G39*G40*G42)+(K24*G41*G42)</f>
        <v>0</v>
      </c>
    </row>
    <row r="11" spans="1:15" x14ac:dyDescent="0.3">
      <c r="B11" s="40" t="s">
        <v>163</v>
      </c>
      <c r="C11" s="52"/>
      <c r="F11" s="40" t="s">
        <v>70</v>
      </c>
      <c r="G11" s="8">
        <v>0.38</v>
      </c>
      <c r="J11" s="40" t="s">
        <v>64</v>
      </c>
      <c r="K11" s="3">
        <f>C19*C9</f>
        <v>0</v>
      </c>
      <c r="N11" s="18"/>
      <c r="O11" s="18"/>
    </row>
    <row r="12" spans="1:15" ht="17.25" thickBot="1" x14ac:dyDescent="0.35">
      <c r="B12" s="40" t="s">
        <v>58</v>
      </c>
      <c r="C12" s="52"/>
      <c r="F12" s="39" t="s">
        <v>48</v>
      </c>
      <c r="G12" s="10">
        <v>0.38</v>
      </c>
      <c r="J12" s="40" t="s">
        <v>65</v>
      </c>
      <c r="K12" s="3">
        <f>C20*C9*G9</f>
        <v>0</v>
      </c>
      <c r="N12" s="47" t="s">
        <v>81</v>
      </c>
      <c r="O12" s="16">
        <f>C10+(K11*C60)</f>
        <v>0</v>
      </c>
    </row>
    <row r="13" spans="1:15" ht="15.75" thickBot="1" x14ac:dyDescent="0.35">
      <c r="B13" s="40" t="s">
        <v>56</v>
      </c>
      <c r="C13" s="52"/>
      <c r="J13" s="39" t="s">
        <v>66</v>
      </c>
      <c r="K13" s="11">
        <f>C21*C9*G12</f>
        <v>0</v>
      </c>
      <c r="N13" s="18"/>
      <c r="O13" s="18"/>
    </row>
    <row r="14" spans="1:15" ht="17.25" thickBot="1" x14ac:dyDescent="0.35">
      <c r="B14" s="42" t="s">
        <v>156</v>
      </c>
      <c r="C14" s="52"/>
      <c r="F14" s="4" t="s">
        <v>59</v>
      </c>
      <c r="G14" s="5"/>
      <c r="J14" s="106"/>
      <c r="K14" s="106"/>
      <c r="N14" s="47" t="s">
        <v>82</v>
      </c>
      <c r="O14" s="16">
        <f>C9*C13</f>
        <v>0</v>
      </c>
    </row>
    <row r="15" spans="1:15" ht="17.25" thickBot="1" x14ac:dyDescent="0.35">
      <c r="B15" s="43" t="s">
        <v>155</v>
      </c>
      <c r="C15" s="55"/>
      <c r="F15" s="40" t="s">
        <v>71</v>
      </c>
      <c r="G15" s="9">
        <v>4.8</v>
      </c>
      <c r="J15" s="104" t="s">
        <v>61</v>
      </c>
      <c r="K15" s="103"/>
    </row>
    <row r="16" spans="1:15" ht="17.25" thickBot="1" x14ac:dyDescent="0.35">
      <c r="C16" s="91"/>
      <c r="F16" s="43" t="s">
        <v>154</v>
      </c>
      <c r="G16" s="41">
        <v>0.39</v>
      </c>
      <c r="J16" s="42" t="s">
        <v>77</v>
      </c>
      <c r="K16" s="36">
        <f>C21*C35*G19*(1-G20)</f>
        <v>0</v>
      </c>
      <c r="N16" s="114" t="s">
        <v>93</v>
      </c>
      <c r="O16" s="115"/>
    </row>
    <row r="17" spans="2:21" ht="16.5" thickTop="1" thickBot="1" x14ac:dyDescent="0.35">
      <c r="B17" s="4" t="s">
        <v>51</v>
      </c>
      <c r="C17" s="98"/>
      <c r="J17" s="43" t="s">
        <v>78</v>
      </c>
      <c r="K17" s="7">
        <f>SUM(K35,K41,K47,K53,K59,K65,K72,K78,K84)</f>
        <v>0</v>
      </c>
      <c r="N17" s="108">
        <f>O8+O10+O12+O14</f>
        <v>0</v>
      </c>
      <c r="O17" s="108"/>
    </row>
    <row r="18" spans="2:21" ht="15.75" thickBot="1" x14ac:dyDescent="0.35">
      <c r="B18" s="40" t="s">
        <v>32</v>
      </c>
      <c r="C18" s="52"/>
      <c r="F18" s="4" t="s">
        <v>29</v>
      </c>
      <c r="G18" s="5"/>
      <c r="J18" s="22"/>
      <c r="K18" s="22"/>
      <c r="N18" s="109"/>
      <c r="O18" s="109"/>
    </row>
    <row r="19" spans="2:21" x14ac:dyDescent="0.3">
      <c r="B19" s="40" t="s">
        <v>40</v>
      </c>
      <c r="C19" s="52"/>
      <c r="F19" s="2" t="s">
        <v>1</v>
      </c>
      <c r="G19" s="8">
        <v>0.34</v>
      </c>
      <c r="J19" s="110" t="s">
        <v>67</v>
      </c>
      <c r="K19" s="111"/>
    </row>
    <row r="20" spans="2:21" ht="17.25" thickBot="1" x14ac:dyDescent="0.35">
      <c r="B20" s="40" t="s">
        <v>31</v>
      </c>
      <c r="C20" s="52"/>
      <c r="F20" s="6" t="s">
        <v>2</v>
      </c>
      <c r="G20" s="10">
        <v>0.39</v>
      </c>
      <c r="J20" s="2" t="s">
        <v>9</v>
      </c>
      <c r="K20" s="3">
        <f>C12*G24*(1-G25)</f>
        <v>0</v>
      </c>
    </row>
    <row r="21" spans="2:21" ht="17.25" thickBot="1" x14ac:dyDescent="0.35">
      <c r="B21" s="39" t="s">
        <v>41</v>
      </c>
      <c r="C21" s="55"/>
      <c r="J21" s="6" t="s">
        <v>10</v>
      </c>
      <c r="K21" s="11">
        <f>IF(C58="yes",0,IF(K20&gt;(SUM(K32,K38,K44,K50,K56,K62,K68,K75,K81)),K20-(SUM(K32,K38,K44,K50,K56,K62,K68,K75,K81)),0))</f>
        <v>0</v>
      </c>
      <c r="N21" s="110" t="s">
        <v>83</v>
      </c>
      <c r="O21" s="111"/>
    </row>
    <row r="22" spans="2:21" ht="15.75" thickBot="1" x14ac:dyDescent="0.35">
      <c r="C22" s="91"/>
      <c r="F22" s="4" t="s">
        <v>28</v>
      </c>
      <c r="G22" s="5"/>
      <c r="N22" s="40" t="s">
        <v>84</v>
      </c>
      <c r="O22" s="49" t="e">
        <f>SUM(K9:K13)*G41*G42/N17</f>
        <v>#DIV/0!</v>
      </c>
      <c r="Q22" s="17"/>
      <c r="R22" s="17"/>
      <c r="S22" s="59"/>
      <c r="T22" s="59"/>
      <c r="U22" s="13"/>
    </row>
    <row r="23" spans="2:21" ht="16.5" x14ac:dyDescent="0.35">
      <c r="B23" s="4" t="s">
        <v>52</v>
      </c>
      <c r="C23" s="98"/>
      <c r="F23" s="40" t="s">
        <v>43</v>
      </c>
      <c r="G23" s="8">
        <v>0.39</v>
      </c>
      <c r="J23" s="112" t="s">
        <v>118</v>
      </c>
      <c r="K23" s="113"/>
      <c r="N23" s="40" t="s">
        <v>85</v>
      </c>
      <c r="O23" s="49" t="e">
        <f>K16*G41*G42/N17</f>
        <v>#DIV/0!</v>
      </c>
      <c r="Q23" s="46"/>
      <c r="R23" s="46"/>
      <c r="S23" s="59"/>
      <c r="T23" s="27"/>
      <c r="U23" s="14"/>
    </row>
    <row r="24" spans="2:21" ht="17.25" thickBot="1" x14ac:dyDescent="0.35">
      <c r="B24" s="75" t="s">
        <v>33</v>
      </c>
      <c r="C24" s="52"/>
      <c r="F24" s="40" t="s">
        <v>3</v>
      </c>
      <c r="G24" s="12">
        <v>5.3999999999999999E-2</v>
      </c>
      <c r="J24" s="43" t="s">
        <v>164</v>
      </c>
      <c r="K24" s="7">
        <f>C14*C15*(1-G16)*G9</f>
        <v>0</v>
      </c>
      <c r="N24" s="40" t="s">
        <v>86</v>
      </c>
      <c r="O24" s="78"/>
      <c r="P24" s="17"/>
      <c r="Q24" s="17"/>
      <c r="R24" s="17"/>
      <c r="S24" s="27"/>
      <c r="T24" s="27"/>
      <c r="U24" s="14"/>
    </row>
    <row r="25" spans="2:21" ht="16.5" x14ac:dyDescent="0.35">
      <c r="B25" s="75" t="s">
        <v>34</v>
      </c>
      <c r="C25" s="52"/>
      <c r="F25" s="2" t="s">
        <v>4</v>
      </c>
      <c r="G25" s="8">
        <v>0.5</v>
      </c>
      <c r="J25" s="17"/>
      <c r="K25" s="17"/>
      <c r="N25" s="40" t="s">
        <v>33</v>
      </c>
      <c r="O25" s="78" t="e">
        <f>K35*G41*G42/N17</f>
        <v>#DIV/0!</v>
      </c>
      <c r="P25" s="46"/>
      <c r="Q25" s="17"/>
      <c r="R25" s="17"/>
      <c r="S25" s="27"/>
      <c r="T25" s="27"/>
      <c r="U25" s="14"/>
    </row>
    <row r="26" spans="2:21" ht="16.5" x14ac:dyDescent="0.3">
      <c r="B26" s="75" t="s">
        <v>35</v>
      </c>
      <c r="C26" s="52"/>
      <c r="F26" s="40" t="s">
        <v>74</v>
      </c>
      <c r="G26" s="3">
        <v>200</v>
      </c>
      <c r="N26" s="40" t="s">
        <v>34</v>
      </c>
      <c r="O26" s="78" t="e">
        <f>K41*G41*G42/N17</f>
        <v>#DIV/0!</v>
      </c>
      <c r="P26" s="17"/>
      <c r="Q26" s="17"/>
      <c r="R26" s="17"/>
      <c r="S26" s="27"/>
      <c r="T26" s="27"/>
      <c r="U26" s="14"/>
    </row>
    <row r="27" spans="2:21" x14ac:dyDescent="0.3">
      <c r="B27" s="40" t="s">
        <v>54</v>
      </c>
      <c r="C27" s="52"/>
      <c r="F27" s="2"/>
      <c r="G27" s="3"/>
      <c r="J27" s="22"/>
      <c r="K27" s="22"/>
      <c r="N27" s="40" t="s">
        <v>35</v>
      </c>
      <c r="O27" s="78" t="e">
        <f>K47*G41*G42/N17</f>
        <v>#DIV/0!</v>
      </c>
      <c r="P27" s="17"/>
      <c r="Q27" s="17"/>
      <c r="R27" s="17"/>
      <c r="S27" s="27"/>
      <c r="T27" s="27"/>
      <c r="U27" s="14"/>
    </row>
    <row r="28" spans="2:21" ht="16.5" x14ac:dyDescent="0.3">
      <c r="B28" s="75" t="s">
        <v>36</v>
      </c>
      <c r="C28" s="52"/>
      <c r="F28" s="40" t="s">
        <v>196</v>
      </c>
      <c r="G28" s="99">
        <v>1.9367708333333334E-2</v>
      </c>
      <c r="N28" s="40" t="s">
        <v>54</v>
      </c>
      <c r="O28" s="78" t="e">
        <f>K53*G41*G42/N17</f>
        <v>#DIV/0!</v>
      </c>
      <c r="P28" s="17"/>
      <c r="Q28" s="17"/>
      <c r="R28" s="17"/>
      <c r="S28" s="27"/>
      <c r="T28" s="27"/>
      <c r="U28" s="14"/>
    </row>
    <row r="29" spans="2:21" ht="17.25" x14ac:dyDescent="0.35">
      <c r="B29" s="75" t="s">
        <v>37</v>
      </c>
      <c r="C29" s="52"/>
      <c r="F29" s="40" t="s">
        <v>197</v>
      </c>
      <c r="G29" s="99">
        <v>1.4158928571428572E-2</v>
      </c>
      <c r="J29" s="107" t="s">
        <v>73</v>
      </c>
      <c r="K29" s="107"/>
      <c r="N29" s="40" t="s">
        <v>36</v>
      </c>
      <c r="O29" s="78" t="e">
        <f>K59*G41*G42/N17</f>
        <v>#DIV/0!</v>
      </c>
      <c r="P29" s="17"/>
      <c r="Q29" s="17"/>
      <c r="R29" s="17"/>
      <c r="S29" s="27"/>
      <c r="T29" s="27"/>
      <c r="U29" s="14"/>
    </row>
    <row r="30" spans="2:21" ht="17.25" thickBot="1" x14ac:dyDescent="0.35">
      <c r="B30" s="75" t="s">
        <v>38</v>
      </c>
      <c r="C30" s="52"/>
      <c r="F30" s="40" t="s">
        <v>198</v>
      </c>
      <c r="G30" s="99">
        <v>3.8750500000000005E-3</v>
      </c>
      <c r="J30" s="106"/>
      <c r="K30" s="106"/>
      <c r="N30" s="40" t="s">
        <v>37</v>
      </c>
      <c r="O30" s="78" t="e">
        <f>K65*G41*G42/N17</f>
        <v>#DIV/0!</v>
      </c>
      <c r="P30" s="17"/>
      <c r="Q30" s="17"/>
      <c r="R30" s="17"/>
      <c r="S30" s="27"/>
      <c r="T30" s="27"/>
      <c r="U30" s="14"/>
    </row>
    <row r="31" spans="2:21" ht="16.5" x14ac:dyDescent="0.3">
      <c r="B31" s="40" t="s">
        <v>53</v>
      </c>
      <c r="C31" s="52"/>
      <c r="F31" s="42" t="s">
        <v>199</v>
      </c>
      <c r="G31" s="99">
        <v>1.8E-3</v>
      </c>
      <c r="J31" s="102" t="s">
        <v>19</v>
      </c>
      <c r="K31" s="103"/>
      <c r="N31" s="40" t="s">
        <v>87</v>
      </c>
      <c r="O31" s="78" t="e">
        <f>K72*G41*G42/N17</f>
        <v>#DIV/0!</v>
      </c>
      <c r="P31" s="17"/>
      <c r="Q31" s="17"/>
      <c r="R31" s="17"/>
      <c r="S31" s="27"/>
      <c r="T31" s="27"/>
      <c r="U31" s="14"/>
    </row>
    <row r="32" spans="2:21" ht="17.25" thickBot="1" x14ac:dyDescent="0.35">
      <c r="B32" s="39" t="s">
        <v>39</v>
      </c>
      <c r="C32" s="55"/>
      <c r="F32" s="40" t="s">
        <v>200</v>
      </c>
      <c r="G32" s="99">
        <v>1.9058405555555557E-2</v>
      </c>
      <c r="J32" s="40" t="s">
        <v>75</v>
      </c>
      <c r="K32" s="3">
        <f>C37*C24</f>
        <v>0</v>
      </c>
      <c r="N32" s="40" t="s">
        <v>53</v>
      </c>
      <c r="O32" s="78" t="e">
        <f>K78*G41*G42/N17</f>
        <v>#DIV/0!</v>
      </c>
      <c r="P32" s="17"/>
      <c r="Q32" s="17"/>
      <c r="R32" s="17"/>
      <c r="S32" s="17"/>
      <c r="T32" s="17"/>
    </row>
    <row r="33" spans="2:20" ht="17.25" thickBot="1" x14ac:dyDescent="0.35">
      <c r="C33" s="91"/>
      <c r="F33" s="40" t="s">
        <v>201</v>
      </c>
      <c r="G33" s="99">
        <v>1.6585714285714283E-2</v>
      </c>
      <c r="J33" s="2" t="s">
        <v>7</v>
      </c>
      <c r="K33" s="3">
        <f>C48*G28*C24</f>
        <v>0</v>
      </c>
      <c r="M33" s="17"/>
      <c r="N33" s="40" t="s">
        <v>162</v>
      </c>
      <c r="O33" s="78" t="e">
        <f>K84*G41*G42/N17</f>
        <v>#DIV/0!</v>
      </c>
      <c r="P33" s="17"/>
      <c r="Q33" s="17"/>
      <c r="R33" s="17"/>
      <c r="S33" s="17"/>
      <c r="T33" s="17"/>
    </row>
    <row r="34" spans="2:20" ht="16.5" x14ac:dyDescent="0.3">
      <c r="B34" s="4" t="s">
        <v>72</v>
      </c>
      <c r="C34" s="98"/>
      <c r="F34" s="44" t="s">
        <v>202</v>
      </c>
      <c r="G34" s="99">
        <v>5.903166666666667E-2</v>
      </c>
      <c r="J34" s="2" t="s">
        <v>8</v>
      </c>
      <c r="K34" s="3">
        <f>K32-K33</f>
        <v>0</v>
      </c>
      <c r="M34" s="17"/>
      <c r="N34" s="40" t="s">
        <v>88</v>
      </c>
      <c r="O34" s="78" t="e">
        <f>K21*G41*G42/N17</f>
        <v>#DIV/0!</v>
      </c>
      <c r="P34" s="17"/>
      <c r="Q34" s="17"/>
      <c r="R34" s="17"/>
      <c r="S34" s="17"/>
      <c r="T34" s="17"/>
    </row>
    <row r="35" spans="2:20" ht="17.25" thickBot="1" x14ac:dyDescent="0.35">
      <c r="B35" s="40" t="s">
        <v>42</v>
      </c>
      <c r="C35" s="52"/>
      <c r="F35" s="42" t="s">
        <v>203</v>
      </c>
      <c r="G35" s="99">
        <v>1.5E-3</v>
      </c>
      <c r="J35" s="6" t="s">
        <v>11</v>
      </c>
      <c r="K35" s="11">
        <f>K34</f>
        <v>0</v>
      </c>
      <c r="M35" s="17"/>
      <c r="N35" s="42" t="s">
        <v>159</v>
      </c>
      <c r="O35" s="78" t="e">
        <f>C11*G15*G39*G40*G42/N17</f>
        <v>#DIV/0!</v>
      </c>
      <c r="P35" s="17"/>
      <c r="Q35" s="17"/>
      <c r="R35" s="17"/>
      <c r="S35" s="17"/>
      <c r="T35" s="17"/>
    </row>
    <row r="36" spans="2:20" ht="17.25" thickBot="1" x14ac:dyDescent="0.35">
      <c r="B36" s="2"/>
      <c r="C36" s="52"/>
      <c r="F36" s="43" t="s">
        <v>204</v>
      </c>
      <c r="G36" s="100">
        <v>1.8778333333333334E-2</v>
      </c>
      <c r="J36" s="22"/>
      <c r="K36" s="22"/>
      <c r="N36" s="42" t="s">
        <v>160</v>
      </c>
      <c r="O36" s="78" t="e">
        <f>K24*G41*G42/N17</f>
        <v>#DIV/0!</v>
      </c>
      <c r="P36" s="17"/>
      <c r="Q36" s="17"/>
      <c r="R36" s="17"/>
      <c r="S36" s="17"/>
      <c r="T36" s="17"/>
    </row>
    <row r="37" spans="2:20" ht="15.75" thickBot="1" x14ac:dyDescent="0.35">
      <c r="B37" s="75" t="s">
        <v>33</v>
      </c>
      <c r="C37" s="52"/>
      <c r="H37" s="35"/>
      <c r="J37" s="102" t="s">
        <v>21</v>
      </c>
      <c r="K37" s="103"/>
      <c r="N37" s="42" t="s">
        <v>161</v>
      </c>
      <c r="O37" s="78" t="e">
        <f>O12/N17</f>
        <v>#DIV/0!</v>
      </c>
      <c r="P37" s="17"/>
      <c r="Q37" s="17"/>
      <c r="R37" s="17"/>
      <c r="S37" s="17"/>
      <c r="T37" s="17"/>
    </row>
    <row r="38" spans="2:20" ht="16.5" x14ac:dyDescent="0.3">
      <c r="B38" s="75" t="s">
        <v>34</v>
      </c>
      <c r="C38" s="52"/>
      <c r="F38" s="4" t="s">
        <v>30</v>
      </c>
      <c r="G38" s="15"/>
      <c r="H38" s="33"/>
      <c r="J38" s="40" t="s">
        <v>75</v>
      </c>
      <c r="K38" s="3">
        <f>C38*C25</f>
        <v>0</v>
      </c>
      <c r="N38" s="42" t="s">
        <v>91</v>
      </c>
      <c r="O38" s="78" t="e">
        <f>O14/N17</f>
        <v>#DIV/0!</v>
      </c>
      <c r="P38" s="17"/>
      <c r="Q38" s="17"/>
      <c r="R38" s="17"/>
      <c r="S38" s="17"/>
      <c r="T38" s="17"/>
    </row>
    <row r="39" spans="2:20" ht="18" thickBot="1" x14ac:dyDescent="0.4">
      <c r="B39" s="75" t="s">
        <v>35</v>
      </c>
      <c r="C39" s="52"/>
      <c r="F39" s="40" t="s">
        <v>68</v>
      </c>
      <c r="G39" s="8">
        <v>0.6</v>
      </c>
      <c r="H39" s="34"/>
      <c r="J39" s="2" t="s">
        <v>7</v>
      </c>
      <c r="K39" s="3">
        <f>C49*G29*C25</f>
        <v>0</v>
      </c>
      <c r="N39" s="50" t="s">
        <v>92</v>
      </c>
      <c r="O39" s="79" t="e">
        <f>SUM(O22:O38)</f>
        <v>#DIV/0!</v>
      </c>
      <c r="P39" s="17"/>
      <c r="Q39" s="17"/>
      <c r="R39" s="17"/>
      <c r="S39" s="17"/>
      <c r="T39" s="17"/>
    </row>
    <row r="40" spans="2:20" ht="16.5" x14ac:dyDescent="0.3">
      <c r="B40" s="40" t="s">
        <v>54</v>
      </c>
      <c r="C40" s="56"/>
      <c r="F40" s="40" t="s">
        <v>46</v>
      </c>
      <c r="G40" s="8">
        <v>0.66</v>
      </c>
      <c r="H40" s="34"/>
      <c r="J40" s="2" t="s">
        <v>8</v>
      </c>
      <c r="K40" s="36">
        <f>K38-K39</f>
        <v>0</v>
      </c>
      <c r="P40" s="17"/>
      <c r="Q40" s="17"/>
      <c r="R40" s="17"/>
      <c r="S40" s="17"/>
      <c r="T40" s="17"/>
    </row>
    <row r="41" spans="2:20" ht="18" customHeight="1" thickBot="1" x14ac:dyDescent="0.35">
      <c r="B41" s="75" t="s">
        <v>36</v>
      </c>
      <c r="C41" s="52"/>
      <c r="F41" s="40" t="s">
        <v>44</v>
      </c>
      <c r="G41" s="8">
        <v>0.39</v>
      </c>
      <c r="H41" s="34"/>
      <c r="J41" s="6" t="s">
        <v>11</v>
      </c>
      <c r="K41" s="11">
        <f>K40</f>
        <v>0</v>
      </c>
      <c r="P41" s="17"/>
      <c r="Q41" s="17"/>
      <c r="R41" s="17"/>
      <c r="S41" s="17"/>
      <c r="T41" s="17"/>
    </row>
    <row r="42" spans="2:20" ht="17.25" customHeight="1" thickBot="1" x14ac:dyDescent="0.35">
      <c r="B42" s="75" t="s">
        <v>37</v>
      </c>
      <c r="C42" s="52"/>
      <c r="F42" s="39" t="s">
        <v>45</v>
      </c>
      <c r="G42" s="10">
        <v>0.65</v>
      </c>
      <c r="H42" s="34"/>
      <c r="N42" s="17"/>
      <c r="O42" s="17"/>
      <c r="P42" s="17"/>
      <c r="Q42" s="17"/>
      <c r="R42" s="17"/>
      <c r="S42" s="17"/>
      <c r="T42" s="17"/>
    </row>
    <row r="43" spans="2:20" x14ac:dyDescent="0.3">
      <c r="B43" s="75" t="s">
        <v>38</v>
      </c>
      <c r="C43" s="52"/>
      <c r="F43" s="31" t="s">
        <v>24</v>
      </c>
      <c r="G43" s="31"/>
      <c r="H43" s="34"/>
      <c r="J43" s="102" t="s">
        <v>20</v>
      </c>
      <c r="K43" s="103"/>
      <c r="N43" s="17"/>
      <c r="O43" s="17"/>
      <c r="P43" s="17"/>
      <c r="Q43" s="17"/>
      <c r="R43" s="17"/>
      <c r="S43" s="17"/>
      <c r="T43" s="17"/>
    </row>
    <row r="44" spans="2:20" ht="16.5" x14ac:dyDescent="0.3">
      <c r="B44" s="40" t="s">
        <v>53</v>
      </c>
      <c r="C44" s="56"/>
      <c r="F44" s="31"/>
      <c r="G44" s="31"/>
      <c r="H44" s="34"/>
      <c r="J44" s="40" t="s">
        <v>75</v>
      </c>
      <c r="K44" s="3">
        <f>C26*C39</f>
        <v>0</v>
      </c>
      <c r="M44" s="17"/>
      <c r="N44" s="17"/>
      <c r="O44" s="17"/>
      <c r="P44" s="17"/>
      <c r="Q44" s="17"/>
      <c r="R44" s="17"/>
      <c r="S44" s="17"/>
      <c r="T44" s="17"/>
    </row>
    <row r="45" spans="2:20" ht="17.25" thickBot="1" x14ac:dyDescent="0.35">
      <c r="B45" s="39" t="s">
        <v>39</v>
      </c>
      <c r="C45" s="55"/>
      <c r="F45" s="31"/>
      <c r="G45" s="31"/>
      <c r="H45" s="34"/>
      <c r="J45" s="2" t="s">
        <v>7</v>
      </c>
      <c r="K45" s="3">
        <f>C50*G30*C26</f>
        <v>0</v>
      </c>
      <c r="M45" s="17"/>
      <c r="N45" s="17"/>
      <c r="O45" s="17"/>
      <c r="P45" s="17"/>
      <c r="Q45" s="17"/>
      <c r="R45" s="17"/>
      <c r="S45" s="17"/>
      <c r="T45" s="17"/>
    </row>
    <row r="46" spans="2:20" ht="17.25" thickBot="1" x14ac:dyDescent="0.35">
      <c r="C46" s="91"/>
      <c r="H46" s="34"/>
      <c r="J46" s="2" t="s">
        <v>8</v>
      </c>
      <c r="K46" s="3">
        <f>K44-K45</f>
        <v>0</v>
      </c>
      <c r="M46" s="17"/>
      <c r="N46" s="17"/>
      <c r="O46" s="17"/>
      <c r="P46" s="17"/>
      <c r="Q46" s="17"/>
      <c r="R46" s="17"/>
      <c r="S46" s="17"/>
      <c r="T46" s="17"/>
    </row>
    <row r="47" spans="2:20" ht="17.25" thickBot="1" x14ac:dyDescent="0.35">
      <c r="B47" s="4" t="s">
        <v>193</v>
      </c>
      <c r="C47" s="98"/>
      <c r="H47" s="34"/>
      <c r="J47" s="6" t="s">
        <v>11</v>
      </c>
      <c r="K47" s="11">
        <f>K46</f>
        <v>0</v>
      </c>
      <c r="M47" s="17"/>
      <c r="N47" s="17"/>
      <c r="O47" s="17"/>
      <c r="P47" s="17"/>
      <c r="Q47" s="17"/>
      <c r="R47" s="17"/>
      <c r="S47" s="17"/>
      <c r="T47" s="17"/>
    </row>
    <row r="48" spans="2:20" ht="15.75" thickBot="1" x14ac:dyDescent="0.35">
      <c r="B48" s="75" t="s">
        <v>33</v>
      </c>
      <c r="C48" s="52"/>
      <c r="D48"/>
      <c r="E48"/>
      <c r="H48" s="34"/>
      <c r="J48" s="23"/>
      <c r="K48" s="22"/>
      <c r="N48" s="17"/>
      <c r="O48" s="17"/>
      <c r="P48" s="17"/>
      <c r="Q48" s="17"/>
      <c r="R48" s="17"/>
      <c r="S48" s="17"/>
      <c r="T48" s="17"/>
    </row>
    <row r="49" spans="2:20" x14ac:dyDescent="0.3">
      <c r="B49" s="75" t="s">
        <v>34</v>
      </c>
      <c r="C49" s="52"/>
      <c r="E49"/>
      <c r="H49" s="34"/>
      <c r="J49" s="104" t="s">
        <v>23</v>
      </c>
      <c r="K49" s="103"/>
      <c r="N49" s="17"/>
      <c r="O49" s="17"/>
      <c r="P49" s="17"/>
      <c r="Q49" s="17"/>
      <c r="R49" s="17"/>
      <c r="S49" s="17"/>
      <c r="T49" s="17"/>
    </row>
    <row r="50" spans="2:20" ht="16.5" x14ac:dyDescent="0.3">
      <c r="B50" s="75" t="s">
        <v>35</v>
      </c>
      <c r="C50" s="52"/>
      <c r="D50"/>
      <c r="E50"/>
      <c r="H50" s="34"/>
      <c r="J50" s="40" t="s">
        <v>75</v>
      </c>
      <c r="K50" s="3">
        <f>C27*C40</f>
        <v>0</v>
      </c>
      <c r="M50"/>
      <c r="N50" s="17"/>
      <c r="O50" s="17"/>
      <c r="P50" s="17"/>
      <c r="Q50" s="17"/>
      <c r="R50" s="17"/>
      <c r="S50" s="17"/>
      <c r="T50" s="17"/>
    </row>
    <row r="51" spans="2:20" ht="16.5" x14ac:dyDescent="0.3">
      <c r="B51" s="40" t="s">
        <v>54</v>
      </c>
      <c r="C51" s="56"/>
      <c r="D51"/>
      <c r="E51"/>
      <c r="H51" s="34"/>
      <c r="J51" s="2" t="s">
        <v>7</v>
      </c>
      <c r="K51" s="3">
        <f>C51*G31*C27</f>
        <v>0</v>
      </c>
      <c r="M51"/>
      <c r="N51" s="17"/>
      <c r="O51" s="17"/>
      <c r="P51" s="17"/>
      <c r="Q51" s="17"/>
      <c r="R51" s="17"/>
      <c r="S51" s="17"/>
      <c r="T51" s="17"/>
    </row>
    <row r="52" spans="2:20" ht="16.5" x14ac:dyDescent="0.3">
      <c r="B52" s="75" t="s">
        <v>36</v>
      </c>
      <c r="C52" s="52"/>
      <c r="D52" s="28"/>
      <c r="E52"/>
      <c r="H52" s="34"/>
      <c r="J52" s="2" t="s">
        <v>8</v>
      </c>
      <c r="K52" s="3">
        <f>K50-K51</f>
        <v>0</v>
      </c>
      <c r="M52"/>
      <c r="N52" s="17"/>
      <c r="O52" s="17"/>
      <c r="P52" s="17"/>
      <c r="Q52" s="17"/>
      <c r="R52" s="17"/>
      <c r="S52" s="17"/>
      <c r="T52" s="17"/>
    </row>
    <row r="53" spans="2:20" ht="17.25" thickBot="1" x14ac:dyDescent="0.35">
      <c r="B53" s="75" t="s">
        <v>37</v>
      </c>
      <c r="C53" s="52"/>
      <c r="D53" s="28"/>
      <c r="E53"/>
      <c r="H53" s="34"/>
      <c r="J53" s="6" t="s">
        <v>11</v>
      </c>
      <c r="K53" s="11">
        <f>K52</f>
        <v>0</v>
      </c>
      <c r="M53"/>
      <c r="N53" s="17"/>
      <c r="O53" s="17"/>
      <c r="P53" s="17"/>
      <c r="Q53" s="17"/>
      <c r="R53" s="17"/>
      <c r="S53" s="17"/>
      <c r="T53" s="17"/>
    </row>
    <row r="54" spans="2:20" ht="15.75" thickBot="1" x14ac:dyDescent="0.35">
      <c r="B54" s="75" t="s">
        <v>38</v>
      </c>
      <c r="C54" s="52"/>
      <c r="D54" s="28"/>
      <c r="E54"/>
      <c r="H54" s="34"/>
      <c r="J54" s="24"/>
      <c r="K54" s="25"/>
      <c r="M54"/>
      <c r="N54" s="17"/>
      <c r="O54" s="17"/>
      <c r="P54" s="17"/>
      <c r="Q54" s="17"/>
      <c r="R54" s="17"/>
      <c r="S54" s="17"/>
      <c r="T54" s="17"/>
    </row>
    <row r="55" spans="2:20" x14ac:dyDescent="0.3">
      <c r="B55" s="40" t="s">
        <v>53</v>
      </c>
      <c r="C55" s="52"/>
      <c r="D55" s="28"/>
      <c r="E55"/>
      <c r="H55" s="34"/>
      <c r="J55" s="102" t="s">
        <v>18</v>
      </c>
      <c r="K55" s="103"/>
      <c r="M55"/>
      <c r="N55" s="17"/>
      <c r="O55" s="17"/>
      <c r="P55" s="17"/>
      <c r="Q55" s="17"/>
      <c r="R55" s="17"/>
      <c r="S55" s="17"/>
      <c r="T55" s="17"/>
    </row>
    <row r="56" spans="2:20" ht="17.25" thickBot="1" x14ac:dyDescent="0.35">
      <c r="B56" s="39" t="s">
        <v>39</v>
      </c>
      <c r="C56" s="55"/>
      <c r="D56" s="28"/>
      <c r="E56"/>
      <c r="F56" s="1" t="s">
        <v>24</v>
      </c>
      <c r="H56" s="34"/>
      <c r="J56" s="40" t="s">
        <v>75</v>
      </c>
      <c r="K56" s="3">
        <f>C41*C28</f>
        <v>0</v>
      </c>
      <c r="M56"/>
      <c r="N56" s="17"/>
      <c r="O56" s="17"/>
      <c r="P56" s="17"/>
      <c r="Q56" s="17"/>
      <c r="R56" s="17"/>
      <c r="S56" s="17"/>
      <c r="T56" s="17"/>
    </row>
    <row r="57" spans="2:20" ht="17.25" thickBot="1" x14ac:dyDescent="0.35">
      <c r="D57" s="28"/>
      <c r="E57"/>
      <c r="H57" s="20"/>
      <c r="J57" s="2" t="s">
        <v>7</v>
      </c>
      <c r="K57" s="3">
        <f>C52*G32*C28</f>
        <v>0</v>
      </c>
      <c r="M57"/>
      <c r="N57" s="17"/>
      <c r="O57" s="17"/>
      <c r="P57" s="17"/>
      <c r="Q57" s="17"/>
      <c r="R57" s="17"/>
      <c r="S57" s="17"/>
      <c r="T57" s="17"/>
    </row>
    <row r="58" spans="2:20" ht="30.75" thickBot="1" x14ac:dyDescent="0.35">
      <c r="B58" s="77" t="s">
        <v>157</v>
      </c>
      <c r="C58" s="76" t="s">
        <v>117</v>
      </c>
      <c r="D58" s="28"/>
      <c r="E58"/>
      <c r="H58" s="20"/>
      <c r="J58" s="2" t="s">
        <v>8</v>
      </c>
      <c r="K58" s="3">
        <f>K56-K57</f>
        <v>0</v>
      </c>
      <c r="M58"/>
      <c r="N58" s="17"/>
      <c r="O58" s="17"/>
      <c r="P58" s="17"/>
      <c r="Q58" s="17"/>
      <c r="R58" s="17"/>
      <c r="S58" s="17"/>
      <c r="T58" s="17"/>
    </row>
    <row r="59" spans="2:20" ht="17.25" thickBot="1" x14ac:dyDescent="0.35">
      <c r="D59" s="28"/>
      <c r="E59"/>
      <c r="F59" s="20"/>
      <c r="G59" s="31"/>
      <c r="H59" s="20"/>
      <c r="J59" s="6" t="s">
        <v>11</v>
      </c>
      <c r="K59" s="11">
        <f>K58</f>
        <v>0</v>
      </c>
      <c r="M59"/>
      <c r="N59" s="17"/>
      <c r="O59" s="17"/>
      <c r="P59" s="17"/>
      <c r="Q59" s="17"/>
      <c r="R59" s="17"/>
      <c r="S59" s="17"/>
      <c r="T59" s="17"/>
    </row>
    <row r="60" spans="2:20" ht="30.75" thickBot="1" x14ac:dyDescent="0.35">
      <c r="B60" s="77" t="s">
        <v>165</v>
      </c>
      <c r="C60" s="76">
        <v>0</v>
      </c>
      <c r="D60" s="28"/>
      <c r="E60"/>
      <c r="F60" s="31"/>
      <c r="G60" s="31"/>
      <c r="H60" s="31"/>
      <c r="J60" s="22"/>
      <c r="K60" s="26"/>
      <c r="M60"/>
      <c r="N60" s="17"/>
      <c r="O60" s="17"/>
      <c r="P60" s="17"/>
      <c r="Q60" s="30"/>
      <c r="R60" s="17"/>
      <c r="S60" s="17"/>
      <c r="T60" s="17"/>
    </row>
    <row r="61" spans="2:20" x14ac:dyDescent="0.3">
      <c r="D61" s="28"/>
      <c r="E61"/>
      <c r="F61" s="20"/>
      <c r="G61" s="31"/>
      <c r="H61" s="20"/>
      <c r="J61" s="102" t="s">
        <v>22</v>
      </c>
      <c r="K61" s="103"/>
      <c r="M61"/>
      <c r="N61" s="17"/>
      <c r="O61" s="17"/>
      <c r="P61" s="17"/>
      <c r="Q61" s="30"/>
      <c r="R61" s="17"/>
      <c r="S61" s="17"/>
      <c r="T61" s="17"/>
    </row>
    <row r="62" spans="2:20" ht="16.5" x14ac:dyDescent="0.3">
      <c r="D62" s="28"/>
      <c r="E62"/>
      <c r="F62" s="20"/>
      <c r="G62" s="31"/>
      <c r="H62" s="20"/>
      <c r="J62" s="40" t="s">
        <v>75</v>
      </c>
      <c r="K62" s="3">
        <f>C42*C29</f>
        <v>0</v>
      </c>
      <c r="M62"/>
      <c r="N62" s="17"/>
      <c r="O62" s="17"/>
      <c r="P62" s="17"/>
      <c r="Q62" s="30"/>
      <c r="R62" s="17"/>
      <c r="S62" s="17"/>
      <c r="T62" s="17"/>
    </row>
    <row r="63" spans="2:20" ht="16.5" x14ac:dyDescent="0.3">
      <c r="D63" s="27"/>
      <c r="F63" s="20"/>
      <c r="G63" s="31"/>
      <c r="H63" s="20"/>
      <c r="J63" s="2" t="s">
        <v>7</v>
      </c>
      <c r="K63" s="3">
        <f>C53*G33*C29</f>
        <v>0</v>
      </c>
      <c r="M63"/>
      <c r="N63" s="17"/>
      <c r="O63" s="17"/>
      <c r="P63" s="17"/>
      <c r="Q63" s="30"/>
      <c r="R63" s="17"/>
      <c r="S63" s="17"/>
      <c r="T63" s="17"/>
    </row>
    <row r="64" spans="2:20" ht="16.5" x14ac:dyDescent="0.3">
      <c r="D64" s="27"/>
      <c r="F64" s="20"/>
      <c r="G64" s="31"/>
      <c r="H64" s="20"/>
      <c r="J64" s="2" t="s">
        <v>8</v>
      </c>
      <c r="K64" s="3">
        <f>K62-K63</f>
        <v>0</v>
      </c>
      <c r="M64"/>
      <c r="N64" s="17"/>
      <c r="O64" s="17"/>
      <c r="P64" s="17"/>
      <c r="Q64" s="30"/>
      <c r="R64" s="17"/>
      <c r="S64" s="17"/>
      <c r="T64" s="17"/>
    </row>
    <row r="65" spans="4:20" ht="17.25" thickBot="1" x14ac:dyDescent="0.35">
      <c r="D65" s="27"/>
      <c r="F65" s="20"/>
      <c r="G65" s="31"/>
      <c r="H65" s="20"/>
      <c r="J65" s="6" t="s">
        <v>11</v>
      </c>
      <c r="K65" s="11">
        <f>K64</f>
        <v>0</v>
      </c>
      <c r="N65" s="17"/>
      <c r="O65" s="17"/>
      <c r="P65" s="30"/>
      <c r="Q65" s="30"/>
      <c r="R65" s="17"/>
      <c r="S65" s="17"/>
      <c r="T65" s="17"/>
    </row>
    <row r="66" spans="4:20" ht="15.75" thickBot="1" x14ac:dyDescent="0.35">
      <c r="D66" s="27"/>
      <c r="F66" s="20"/>
      <c r="G66" s="31"/>
      <c r="H66" s="20"/>
      <c r="K66"/>
      <c r="N66" s="17"/>
      <c r="O66" s="17"/>
      <c r="P66" s="30"/>
      <c r="Q66" s="30"/>
      <c r="R66" s="17"/>
      <c r="S66" s="17"/>
      <c r="T66" s="17"/>
    </row>
    <row r="67" spans="4:20" x14ac:dyDescent="0.3">
      <c r="F67" s="20"/>
      <c r="G67" s="31"/>
      <c r="H67" s="20"/>
      <c r="J67" s="102" t="s">
        <v>5</v>
      </c>
      <c r="K67" s="103"/>
      <c r="N67" s="17"/>
      <c r="O67" s="17"/>
      <c r="P67" s="30"/>
      <c r="Q67" s="30"/>
      <c r="R67" s="17"/>
      <c r="S67" s="17"/>
      <c r="T67" s="17"/>
    </row>
    <row r="68" spans="4:20" ht="16.5" x14ac:dyDescent="0.3">
      <c r="F68" s="20"/>
      <c r="G68" s="31"/>
      <c r="H68" s="26"/>
      <c r="J68" s="40" t="s">
        <v>75</v>
      </c>
      <c r="K68" s="3">
        <f>(C43*C30)</f>
        <v>0</v>
      </c>
      <c r="N68" s="17"/>
      <c r="O68" s="17"/>
      <c r="P68" s="30"/>
      <c r="Q68" s="30"/>
      <c r="R68" s="17"/>
      <c r="S68" s="17"/>
      <c r="T68" s="17"/>
    </row>
    <row r="69" spans="4:20" ht="16.5" x14ac:dyDescent="0.3">
      <c r="F69" s="26"/>
      <c r="G69" s="22"/>
      <c r="H69" s="26"/>
      <c r="J69" s="40" t="s">
        <v>79</v>
      </c>
      <c r="K69" s="3">
        <f>(G26*C30)</f>
        <v>0</v>
      </c>
      <c r="N69" s="17"/>
      <c r="O69" s="17"/>
      <c r="P69" s="30"/>
      <c r="Q69" s="17"/>
      <c r="R69" s="17"/>
      <c r="S69" s="17"/>
      <c r="T69" s="17"/>
    </row>
    <row r="70" spans="4:20" ht="16.5" x14ac:dyDescent="0.3">
      <c r="F70" s="26"/>
      <c r="G70" s="22"/>
      <c r="H70"/>
      <c r="J70" s="2" t="s">
        <v>7</v>
      </c>
      <c r="K70" s="3">
        <f>C54*G34*C30</f>
        <v>0</v>
      </c>
      <c r="N70" s="17"/>
      <c r="O70" s="17"/>
      <c r="P70" s="30"/>
      <c r="Q70" s="17"/>
      <c r="R70" s="17"/>
      <c r="S70" s="17"/>
      <c r="T70" s="17"/>
    </row>
    <row r="71" spans="4:20" ht="16.5" x14ac:dyDescent="0.3">
      <c r="F71"/>
      <c r="H71"/>
      <c r="J71" s="2" t="s">
        <v>8</v>
      </c>
      <c r="K71" s="3">
        <f>(K68+K69)-K70</f>
        <v>0</v>
      </c>
      <c r="N71" s="17"/>
      <c r="O71" s="17"/>
      <c r="P71" s="30"/>
      <c r="Q71" s="17"/>
      <c r="R71" s="17"/>
      <c r="S71" s="17"/>
      <c r="T71" s="17"/>
    </row>
    <row r="72" spans="4:20" ht="17.25" thickBot="1" x14ac:dyDescent="0.35">
      <c r="F72"/>
      <c r="J72" s="6" t="s">
        <v>11</v>
      </c>
      <c r="K72" s="11">
        <f>K71</f>
        <v>0</v>
      </c>
      <c r="N72" s="17"/>
      <c r="O72" s="17"/>
      <c r="P72" s="30"/>
      <c r="Q72" s="17"/>
      <c r="R72" s="17"/>
      <c r="S72" s="17"/>
      <c r="T72" s="17"/>
    </row>
    <row r="73" spans="4:20" ht="15.75" thickBot="1" x14ac:dyDescent="0.35">
      <c r="F73"/>
      <c r="N73" s="17"/>
      <c r="O73" s="17"/>
      <c r="P73" s="17"/>
      <c r="Q73" s="17"/>
      <c r="R73" s="17"/>
      <c r="S73" s="17"/>
      <c r="T73" s="17"/>
    </row>
    <row r="74" spans="4:20" x14ac:dyDescent="0.3">
      <c r="J74" s="104" t="s">
        <v>25</v>
      </c>
      <c r="K74" s="105"/>
      <c r="N74" s="17"/>
      <c r="O74" s="17"/>
      <c r="P74" s="17"/>
      <c r="Q74" s="17"/>
      <c r="R74" s="17"/>
      <c r="S74" s="17"/>
      <c r="T74" s="17"/>
    </row>
    <row r="75" spans="4:20" ht="16.5" x14ac:dyDescent="0.3">
      <c r="J75" s="45" t="s">
        <v>75</v>
      </c>
      <c r="K75" s="3">
        <f>C31*C44</f>
        <v>0</v>
      </c>
      <c r="N75" s="17"/>
      <c r="O75" s="17"/>
      <c r="P75" s="17"/>
      <c r="Q75" s="17"/>
      <c r="R75" s="17"/>
      <c r="S75" s="17"/>
      <c r="T75" s="17"/>
    </row>
    <row r="76" spans="4:20" ht="16.5" x14ac:dyDescent="0.3">
      <c r="J76" s="19" t="s">
        <v>14</v>
      </c>
      <c r="K76" s="3">
        <f>C55*G35*C31</f>
        <v>0</v>
      </c>
      <c r="N76" s="17"/>
      <c r="O76" s="17"/>
      <c r="P76" s="17"/>
      <c r="Q76" s="17"/>
      <c r="R76" s="17"/>
      <c r="S76" s="17"/>
      <c r="T76" s="17"/>
    </row>
    <row r="77" spans="4:20" ht="16.5" x14ac:dyDescent="0.3">
      <c r="J77" s="19" t="s">
        <v>8</v>
      </c>
      <c r="K77" s="3">
        <f>K75-K76</f>
        <v>0</v>
      </c>
      <c r="N77" s="17"/>
      <c r="O77" s="17"/>
      <c r="P77" s="17"/>
      <c r="Q77" s="17"/>
      <c r="R77" s="17"/>
      <c r="S77" s="17"/>
      <c r="T77" s="17"/>
    </row>
    <row r="78" spans="4:20" ht="17.25" thickBot="1" x14ac:dyDescent="0.35">
      <c r="J78" s="21" t="s">
        <v>11</v>
      </c>
      <c r="K78" s="11">
        <f>K77</f>
        <v>0</v>
      </c>
      <c r="N78" s="17"/>
      <c r="O78" s="17"/>
      <c r="P78" s="17"/>
      <c r="Q78" s="17"/>
      <c r="R78" s="17"/>
      <c r="S78" s="17"/>
      <c r="T78" s="17"/>
    </row>
    <row r="79" spans="4:20" ht="15.75" thickBot="1" x14ac:dyDescent="0.35">
      <c r="N79" s="17"/>
      <c r="O79" s="17"/>
      <c r="P79" s="17"/>
      <c r="Q79" s="17"/>
      <c r="R79" s="17"/>
      <c r="S79" s="17"/>
      <c r="T79" s="17"/>
    </row>
    <row r="80" spans="4:20" x14ac:dyDescent="0.3">
      <c r="J80" s="102" t="s">
        <v>6</v>
      </c>
      <c r="K80" s="103"/>
      <c r="N80" s="17"/>
      <c r="O80" s="17"/>
      <c r="P80" s="17"/>
      <c r="Q80" s="17"/>
      <c r="R80" s="17"/>
      <c r="S80" s="17"/>
      <c r="T80" s="17"/>
    </row>
    <row r="81" spans="10:20" ht="16.5" x14ac:dyDescent="0.3">
      <c r="J81" s="45" t="s">
        <v>75</v>
      </c>
      <c r="K81" s="3">
        <f>C32*C45</f>
        <v>0</v>
      </c>
      <c r="N81" s="17"/>
      <c r="O81" s="17"/>
      <c r="P81" s="17"/>
      <c r="Q81" s="17"/>
      <c r="R81" s="17"/>
      <c r="S81" s="17"/>
      <c r="T81" s="17"/>
    </row>
    <row r="82" spans="10:20" ht="16.5" x14ac:dyDescent="0.3">
      <c r="J82" s="19" t="s">
        <v>14</v>
      </c>
      <c r="K82" s="3">
        <f>C56*G36*C32</f>
        <v>0</v>
      </c>
      <c r="N82" s="17"/>
      <c r="O82" s="17"/>
      <c r="P82" s="17"/>
      <c r="Q82" s="17"/>
      <c r="R82" s="17"/>
      <c r="S82" s="17"/>
      <c r="T82" s="17"/>
    </row>
    <row r="83" spans="10:20" ht="16.5" x14ac:dyDescent="0.3">
      <c r="J83" s="19" t="s">
        <v>8</v>
      </c>
      <c r="K83" s="3">
        <f>K81-K82</f>
        <v>0</v>
      </c>
      <c r="N83" s="17"/>
      <c r="O83" s="17"/>
      <c r="P83" s="17"/>
      <c r="Q83" s="17"/>
      <c r="R83" s="17"/>
      <c r="S83" s="17"/>
      <c r="T83" s="17"/>
    </row>
    <row r="84" spans="10:20" ht="17.25" thickBot="1" x14ac:dyDescent="0.35">
      <c r="J84" s="21" t="s">
        <v>11</v>
      </c>
      <c r="K84" s="11">
        <f>K81-K82</f>
        <v>0</v>
      </c>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row r="87" spans="10:20" x14ac:dyDescent="0.3">
      <c r="N87" s="17"/>
      <c r="O87" s="17"/>
      <c r="P87" s="17"/>
    </row>
    <row r="88" spans="10:20" x14ac:dyDescent="0.3">
      <c r="P88" s="17"/>
    </row>
  </sheetData>
  <mergeCells count="24">
    <mergeCell ref="N17:O18"/>
    <mergeCell ref="J19:K19"/>
    <mergeCell ref="N21:O21"/>
    <mergeCell ref="J23:K23"/>
    <mergeCell ref="N6:O6"/>
    <mergeCell ref="J8:K8"/>
    <mergeCell ref="J14:K14"/>
    <mergeCell ref="J15:K15"/>
    <mergeCell ref="N16:O16"/>
    <mergeCell ref="B3:I3"/>
    <mergeCell ref="J61:K61"/>
    <mergeCell ref="J67:K67"/>
    <mergeCell ref="J74:K74"/>
    <mergeCell ref="J80:K80"/>
    <mergeCell ref="J30:K30"/>
    <mergeCell ref="J31:K31"/>
    <mergeCell ref="J37:K37"/>
    <mergeCell ref="J43:K43"/>
    <mergeCell ref="J49:K49"/>
    <mergeCell ref="J55:K55"/>
    <mergeCell ref="J29:K29"/>
    <mergeCell ref="B6:C6"/>
    <mergeCell ref="F6:G6"/>
    <mergeCell ref="J6:K6"/>
  </mergeCells>
  <pageMargins left="0.75" right="0.75" top="1" bottom="1" header="0.5" footer="0.5"/>
  <pageSetup scale="76"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106</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28880.051181061626</v>
      </c>
    </row>
    <row r="9" spans="1:15" ht="16.5" x14ac:dyDescent="0.3">
      <c r="B9" s="40" t="s">
        <v>57</v>
      </c>
      <c r="C9" s="58">
        <v>6.2</v>
      </c>
      <c r="F9" s="40" t="s">
        <v>47</v>
      </c>
      <c r="G9" s="8">
        <v>0.35</v>
      </c>
      <c r="J9" s="40" t="s">
        <v>62</v>
      </c>
      <c r="K9" s="3">
        <f>SUM(C22:C30)*C9*G11</f>
        <v>4540.6315722603467</v>
      </c>
    </row>
    <row r="10" spans="1:15" ht="16.5" x14ac:dyDescent="0.3">
      <c r="A10" s="32" t="s">
        <v>24</v>
      </c>
      <c r="B10" s="40" t="s">
        <v>80</v>
      </c>
      <c r="C10" s="60">
        <v>235858.17796092009</v>
      </c>
      <c r="F10" s="40" t="s">
        <v>69</v>
      </c>
      <c r="G10" s="8">
        <v>0.38</v>
      </c>
      <c r="J10" s="40" t="s">
        <v>63</v>
      </c>
      <c r="K10" s="3">
        <f>C16*C9*G10</f>
        <v>94.5699860478245</v>
      </c>
      <c r="N10" s="16" t="s">
        <v>13</v>
      </c>
      <c r="O10" s="16">
        <f>C11*G15*G38*G39*G41</f>
        <v>1987.0117583512551</v>
      </c>
    </row>
    <row r="11" spans="1:15" x14ac:dyDescent="0.3">
      <c r="B11" s="40" t="s">
        <v>163</v>
      </c>
      <c r="C11" s="52">
        <v>1608.2392501547974</v>
      </c>
      <c r="F11" s="40" t="s">
        <v>70</v>
      </c>
      <c r="G11" s="8">
        <v>0.38</v>
      </c>
      <c r="J11" s="40" t="s">
        <v>64</v>
      </c>
      <c r="K11" s="3">
        <f>C17*C9</f>
        <v>1392.7701509049446</v>
      </c>
      <c r="N11" s="18"/>
      <c r="O11" s="18"/>
    </row>
    <row r="12" spans="1:15" ht="17.25" thickBot="1" x14ac:dyDescent="0.35">
      <c r="B12" s="40" t="s">
        <v>58</v>
      </c>
      <c r="C12" s="52">
        <v>264000</v>
      </c>
      <c r="F12" s="39" t="s">
        <v>48</v>
      </c>
      <c r="G12" s="10">
        <v>0.38</v>
      </c>
      <c r="J12" s="40" t="s">
        <v>65</v>
      </c>
      <c r="K12" s="3">
        <f>C18*C9*G9</f>
        <v>3409.1620648913654</v>
      </c>
      <c r="N12" s="47" t="s">
        <v>81</v>
      </c>
      <c r="O12" s="16">
        <f>C10</f>
        <v>235858.17796092009</v>
      </c>
    </row>
    <row r="13" spans="1:15" ht="15.75" thickBot="1" x14ac:dyDescent="0.35">
      <c r="B13" s="39" t="s">
        <v>56</v>
      </c>
      <c r="C13" s="55">
        <v>1256.5921832454201</v>
      </c>
      <c r="J13" s="39" t="s">
        <v>66</v>
      </c>
      <c r="K13" s="11">
        <f>C19*C9*G12</f>
        <v>159.87840690596343</v>
      </c>
      <c r="N13" s="18"/>
      <c r="O13" s="18"/>
    </row>
    <row r="14" spans="1:15" ht="17.25" thickBot="1" x14ac:dyDescent="0.35">
      <c r="C14" s="54"/>
      <c r="F14" s="4" t="s">
        <v>59</v>
      </c>
      <c r="G14" s="5"/>
      <c r="J14" s="106"/>
      <c r="K14" s="106"/>
      <c r="N14" s="47" t="s">
        <v>82</v>
      </c>
      <c r="O14" s="16">
        <f>C9*C13</f>
        <v>7790.8715361216045</v>
      </c>
    </row>
    <row r="15" spans="1:15" ht="17.25" thickBot="1" x14ac:dyDescent="0.35">
      <c r="B15" s="4" t="s">
        <v>51</v>
      </c>
      <c r="C15" s="5"/>
      <c r="F15" s="39" t="s">
        <v>71</v>
      </c>
      <c r="G15" s="41">
        <v>4.8</v>
      </c>
      <c r="J15" s="104" t="s">
        <v>61</v>
      </c>
      <c r="K15" s="103"/>
    </row>
    <row r="16" spans="1:15" ht="17.25" thickBot="1" x14ac:dyDescent="0.35">
      <c r="B16" s="40" t="s">
        <v>32</v>
      </c>
      <c r="C16" s="3">
        <v>40.140061989738754</v>
      </c>
      <c r="J16" s="42" t="s">
        <v>77</v>
      </c>
      <c r="K16" s="36">
        <f>C19*C33*G18*(1-G19)</f>
        <v>1477.7895022033808</v>
      </c>
      <c r="N16" s="114" t="s">
        <v>93</v>
      </c>
      <c r="O16" s="115"/>
    </row>
    <row r="17" spans="2:21" ht="16.5" thickTop="1" thickBot="1" x14ac:dyDescent="0.35">
      <c r="B17" s="40" t="s">
        <v>40</v>
      </c>
      <c r="C17" s="3">
        <v>224.64034692015233</v>
      </c>
      <c r="F17" s="4" t="s">
        <v>29</v>
      </c>
      <c r="G17" s="5"/>
      <c r="J17" s="43" t="s">
        <v>78</v>
      </c>
      <c r="K17" s="7">
        <f>SUM(K32,K38,K44,K50,K56,K62,K69,K75,K81)</f>
        <v>102850.44952412986</v>
      </c>
      <c r="N17" s="108">
        <f>O8+O10+O12+O14</f>
        <v>274516.11243645457</v>
      </c>
      <c r="O17" s="108"/>
    </row>
    <row r="18" spans="2:21" ht="15.75" thickBot="1" x14ac:dyDescent="0.35">
      <c r="B18" s="40" t="s">
        <v>31</v>
      </c>
      <c r="C18" s="3">
        <v>1571.0424262172191</v>
      </c>
      <c r="F18" s="2" t="s">
        <v>1</v>
      </c>
      <c r="G18" s="8">
        <v>0.34</v>
      </c>
      <c r="J18" s="22"/>
      <c r="K18" s="22"/>
      <c r="N18" s="109"/>
      <c r="O18" s="109"/>
    </row>
    <row r="19" spans="2:21" ht="15.75" thickBot="1" x14ac:dyDescent="0.35">
      <c r="B19" s="39" t="s">
        <v>41</v>
      </c>
      <c r="C19" s="11">
        <v>67.860104798796016</v>
      </c>
      <c r="F19" s="6" t="s">
        <v>2</v>
      </c>
      <c r="G19" s="10">
        <v>0.39</v>
      </c>
      <c r="J19" s="110" t="s">
        <v>67</v>
      </c>
      <c r="K19" s="111"/>
    </row>
    <row r="20" spans="2:21" ht="17.25" thickBot="1" x14ac:dyDescent="0.35">
      <c r="C20" s="54"/>
      <c r="J20" s="2" t="s">
        <v>9</v>
      </c>
      <c r="K20" s="3">
        <f>C12*G23*(1-G24)</f>
        <v>7128</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19.665644584231831</v>
      </c>
      <c r="F22" s="40" t="s">
        <v>43</v>
      </c>
      <c r="G22" s="8">
        <v>0.39</v>
      </c>
      <c r="J22" s="22"/>
      <c r="K22" s="22"/>
      <c r="N22" s="40" t="s">
        <v>84</v>
      </c>
      <c r="O22" s="48">
        <f>SUM(K9:K13)*G40*G41/N17</f>
        <v>8.8622943341779489E-3</v>
      </c>
      <c r="P22" s="17"/>
      <c r="Q22" s="17"/>
      <c r="R22" s="17"/>
      <c r="S22" s="29"/>
      <c r="T22" s="29"/>
      <c r="U22" s="13"/>
    </row>
    <row r="23" spans="2:21" ht="16.5" x14ac:dyDescent="0.35">
      <c r="B23" s="75" t="s">
        <v>34</v>
      </c>
      <c r="C23" s="52">
        <v>573.87926468531066</v>
      </c>
      <c r="F23" s="40" t="s">
        <v>3</v>
      </c>
      <c r="G23" s="12">
        <v>5.3999999999999999E-2</v>
      </c>
      <c r="J23" s="22"/>
      <c r="K23" s="22"/>
      <c r="N23" s="40" t="s">
        <v>85</v>
      </c>
      <c r="O23" s="49">
        <f>K16*G40*G41/N17</f>
        <v>1.3646544659387692E-3</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4.1438874225753405E-4</v>
      </c>
      <c r="P25" s="17"/>
      <c r="Q25" s="17"/>
      <c r="R25" s="17"/>
      <c r="S25" s="27"/>
      <c r="T25" s="27"/>
      <c r="U25" s="14"/>
    </row>
    <row r="26" spans="2:21" ht="16.5" x14ac:dyDescent="0.35">
      <c r="B26" s="75" t="s">
        <v>36</v>
      </c>
      <c r="C26" s="52">
        <v>0</v>
      </c>
      <c r="F26" s="2"/>
      <c r="G26" s="3"/>
      <c r="J26" s="107" t="s">
        <v>73</v>
      </c>
      <c r="K26" s="107"/>
      <c r="N26" s="40" t="s">
        <v>34</v>
      </c>
      <c r="O26" s="8">
        <f>K38*G40*G41/N17</f>
        <v>2.0078012871055415E-2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840.2593595080873</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139.47710504760056</v>
      </c>
      <c r="F29" s="40" t="s">
        <v>198</v>
      </c>
      <c r="G29" s="99">
        <v>3.8750500000000005E-3</v>
      </c>
      <c r="J29" s="40" t="s">
        <v>75</v>
      </c>
      <c r="K29" s="3">
        <f>C35*C22</f>
        <v>2163.2209042655013</v>
      </c>
      <c r="N29" s="40" t="s">
        <v>36</v>
      </c>
      <c r="O29" s="8">
        <f>K56*G40*G41/N17</f>
        <v>0</v>
      </c>
      <c r="P29" s="17"/>
      <c r="Q29" s="17"/>
      <c r="R29" s="17"/>
      <c r="S29" s="27"/>
      <c r="T29" s="27"/>
      <c r="U29" s="14"/>
    </row>
    <row r="30" spans="2:21" ht="17.25" thickBot="1" x14ac:dyDescent="0.35">
      <c r="B30" s="39" t="s">
        <v>39</v>
      </c>
      <c r="C30" s="55">
        <v>353.98160251617298</v>
      </c>
      <c r="F30" s="42" t="s">
        <v>199</v>
      </c>
      <c r="G30" s="99">
        <v>1.8E-3</v>
      </c>
      <c r="J30" s="2" t="s">
        <v>7</v>
      </c>
      <c r="K30" s="3">
        <f>C46*G27*C22</f>
        <v>1714.4777620092086</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448.74314225629269</v>
      </c>
      <c r="M31" s="17"/>
      <c r="N31" s="40" t="s">
        <v>87</v>
      </c>
      <c r="O31" s="8">
        <f>K69*G40*G41/N17</f>
        <v>4.998961139215493E-2</v>
      </c>
      <c r="P31" s="17"/>
      <c r="Q31" s="17"/>
      <c r="R31" s="17"/>
      <c r="S31" s="27"/>
      <c r="T31" s="27"/>
      <c r="U31" s="14"/>
    </row>
    <row r="32" spans="2:21" ht="17.25" thickBot="1" x14ac:dyDescent="0.35">
      <c r="B32" s="4" t="s">
        <v>72</v>
      </c>
      <c r="C32" s="5"/>
      <c r="F32" s="40" t="s">
        <v>201</v>
      </c>
      <c r="G32" s="99">
        <v>1.6585714285714283E-2</v>
      </c>
      <c r="J32" s="6" t="s">
        <v>11</v>
      </c>
      <c r="K32" s="11">
        <f>K31</f>
        <v>448.74314225629269</v>
      </c>
      <c r="M32" s="17"/>
      <c r="N32" s="40" t="s">
        <v>53</v>
      </c>
      <c r="O32" s="8">
        <f>K75*G40*G41/N17</f>
        <v>1.7355945115805429E-2</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7.1385761264286113E-3</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87229.648232167223</v>
      </c>
      <c r="N35" s="42" t="s">
        <v>89</v>
      </c>
      <c r="O35" s="8">
        <f>O10/N17</f>
        <v>7.2382336348698357E-3</v>
      </c>
      <c r="P35" s="17"/>
      <c r="Q35" s="17"/>
      <c r="R35" s="17"/>
      <c r="S35" s="17"/>
      <c r="T35" s="17"/>
    </row>
    <row r="36" spans="2:20" ht="17.25" thickBot="1" x14ac:dyDescent="0.35">
      <c r="B36" s="75" t="s">
        <v>34</v>
      </c>
      <c r="C36" s="52">
        <v>152</v>
      </c>
      <c r="J36" s="2" t="s">
        <v>7</v>
      </c>
      <c r="K36" s="3">
        <f>C47*G28*C23</f>
        <v>65487.091866047973</v>
      </c>
      <c r="N36" s="42" t="s">
        <v>90</v>
      </c>
      <c r="O36" s="8">
        <f>O12/N17</f>
        <v>0.85917790350290246</v>
      </c>
      <c r="P36" s="17"/>
      <c r="Q36" s="17"/>
      <c r="R36" s="17"/>
      <c r="S36" s="17"/>
      <c r="T36" s="17"/>
    </row>
    <row r="37" spans="2:20" ht="16.5" x14ac:dyDescent="0.3">
      <c r="B37" s="75" t="s">
        <v>35</v>
      </c>
      <c r="C37" s="52">
        <v>152</v>
      </c>
      <c r="F37" s="4" t="s">
        <v>30</v>
      </c>
      <c r="G37" s="15"/>
      <c r="H37" s="35"/>
      <c r="J37" s="2" t="s">
        <v>8</v>
      </c>
      <c r="K37" s="36">
        <f>K35-K36</f>
        <v>21742.55636611925</v>
      </c>
      <c r="N37" s="42" t="s">
        <v>91</v>
      </c>
      <c r="O37" s="8">
        <f>O14/N17</f>
        <v>2.8380379814409065E-2</v>
      </c>
      <c r="P37" s="17"/>
      <c r="Q37" s="17"/>
      <c r="R37" s="17"/>
      <c r="S37" s="17"/>
      <c r="T37" s="17"/>
    </row>
    <row r="38" spans="2:20" ht="18" thickBot="1" x14ac:dyDescent="0.4">
      <c r="B38" s="40" t="s">
        <v>54</v>
      </c>
      <c r="C38" s="56">
        <v>121</v>
      </c>
      <c r="F38" s="40" t="s">
        <v>68</v>
      </c>
      <c r="G38" s="8">
        <v>0.6</v>
      </c>
      <c r="H38" s="33"/>
      <c r="J38" s="6" t="s">
        <v>11</v>
      </c>
      <c r="K38" s="11">
        <f>K37</f>
        <v>21742.55636611925</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168051.87190161747</v>
      </c>
      <c r="N66" s="17"/>
      <c r="O66" s="17"/>
      <c r="P66" s="30"/>
      <c r="Q66" s="30"/>
      <c r="R66" s="17"/>
      <c r="S66" s="17"/>
      <c r="T66" s="17"/>
    </row>
    <row r="67" spans="4:20" ht="16.5" x14ac:dyDescent="0.3">
      <c r="F67" s="20"/>
      <c r="G67" s="31"/>
      <c r="H67" s="20"/>
      <c r="J67" s="2" t="s">
        <v>7</v>
      </c>
      <c r="K67" s="3">
        <f>C52*G33*C28</f>
        <v>113917.93193481876</v>
      </c>
      <c r="N67" s="17"/>
      <c r="O67" s="17"/>
      <c r="P67" s="30"/>
      <c r="Q67" s="30"/>
      <c r="R67" s="17"/>
      <c r="S67" s="17"/>
      <c r="T67" s="17"/>
    </row>
    <row r="68" spans="4:20" ht="16.5" x14ac:dyDescent="0.3">
      <c r="F68" s="26"/>
      <c r="G68" s="22"/>
      <c r="H68" s="26"/>
      <c r="J68" s="2" t="s">
        <v>8</v>
      </c>
      <c r="K68" s="3">
        <f>(K65+K66)-K67</f>
        <v>54133.939966798716</v>
      </c>
      <c r="N68" s="17"/>
      <c r="O68" s="17"/>
      <c r="P68" s="30"/>
      <c r="Q68" s="30"/>
      <c r="R68" s="17"/>
      <c r="S68" s="17"/>
      <c r="T68" s="17"/>
    </row>
    <row r="69" spans="4:20" ht="17.25" thickBot="1" x14ac:dyDescent="0.35">
      <c r="F69" s="26"/>
      <c r="G69" s="22"/>
      <c r="H69" s="26"/>
      <c r="J69" s="6" t="s">
        <v>11</v>
      </c>
      <c r="K69" s="11">
        <f>K68</f>
        <v>54133.939966798716</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28174.375219615315</v>
      </c>
      <c r="N72" s="17"/>
      <c r="O72" s="17"/>
      <c r="P72" s="17"/>
      <c r="Q72" s="17"/>
      <c r="R72" s="17"/>
      <c r="S72" s="17"/>
      <c r="T72" s="17"/>
    </row>
    <row r="73" spans="4:20" ht="16.5" x14ac:dyDescent="0.3">
      <c r="J73" s="19" t="s">
        <v>14</v>
      </c>
      <c r="K73" s="3">
        <f>C53*G34*C29</f>
        <v>9379.5563602410439</v>
      </c>
      <c r="N73" s="17"/>
      <c r="O73" s="17"/>
      <c r="P73" s="17"/>
      <c r="Q73" s="17"/>
      <c r="R73" s="17"/>
      <c r="S73" s="17"/>
      <c r="T73" s="17"/>
    </row>
    <row r="74" spans="4:20" ht="16.5" x14ac:dyDescent="0.3">
      <c r="J74" s="19" t="s">
        <v>15</v>
      </c>
      <c r="K74" s="3">
        <f>K72-K73</f>
        <v>18794.818859374271</v>
      </c>
      <c r="N74" s="17"/>
      <c r="O74" s="17"/>
      <c r="P74" s="17"/>
      <c r="Q74" s="17"/>
      <c r="R74" s="17"/>
      <c r="S74" s="17"/>
      <c r="T74" s="17"/>
    </row>
    <row r="75" spans="4:20" ht="17.25" thickBot="1" x14ac:dyDescent="0.35">
      <c r="J75" s="21" t="s">
        <v>16</v>
      </c>
      <c r="K75" s="11">
        <f>K74</f>
        <v>18794.818859374271</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35044.178649101123</v>
      </c>
      <c r="N78" s="17"/>
      <c r="O78" s="17"/>
      <c r="P78" s="17"/>
      <c r="Q78" s="17"/>
      <c r="R78" s="17"/>
      <c r="S78" s="17"/>
      <c r="T78" s="17"/>
    </row>
    <row r="79" spans="4:20" ht="16.5" x14ac:dyDescent="0.3">
      <c r="J79" s="19" t="s">
        <v>14</v>
      </c>
      <c r="K79" s="3">
        <f>C54*G35*C30</f>
        <v>27313.787459519794</v>
      </c>
      <c r="N79" s="17"/>
      <c r="O79" s="17"/>
      <c r="P79" s="17"/>
      <c r="Q79" s="17"/>
      <c r="R79" s="17"/>
      <c r="S79" s="17"/>
      <c r="T79" s="17"/>
    </row>
    <row r="80" spans="4:20" ht="16.5" x14ac:dyDescent="0.3">
      <c r="J80" s="19" t="s">
        <v>15</v>
      </c>
      <c r="K80" s="3">
        <f>K78-K79</f>
        <v>7730.3911895813289</v>
      </c>
      <c r="N80" s="17"/>
      <c r="O80" s="17"/>
      <c r="P80" s="17"/>
      <c r="Q80" s="17"/>
      <c r="R80" s="17"/>
      <c r="S80" s="17"/>
      <c r="T80" s="17"/>
    </row>
    <row r="81" spans="10:20" ht="17.25" thickBot="1" x14ac:dyDescent="0.35">
      <c r="J81" s="21" t="s">
        <v>16</v>
      </c>
      <c r="K81" s="11">
        <f>K78-K79</f>
        <v>7730.3911895813289</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151</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17613.194539616699</v>
      </c>
    </row>
    <row r="9" spans="1:15" ht="16.5" x14ac:dyDescent="0.3">
      <c r="B9" s="40" t="s">
        <v>57</v>
      </c>
      <c r="C9" s="58">
        <v>6.2</v>
      </c>
      <c r="F9" s="40" t="s">
        <v>47</v>
      </c>
      <c r="G9" s="8">
        <v>0.35</v>
      </c>
      <c r="J9" s="40" t="s">
        <v>62</v>
      </c>
      <c r="K9" s="3">
        <f>SUM(C22:C30)*C9*G11</f>
        <v>2836.039379797428</v>
      </c>
    </row>
    <row r="10" spans="1:15" ht="16.5" x14ac:dyDescent="0.3">
      <c r="A10" s="32" t="s">
        <v>24</v>
      </c>
      <c r="B10" s="40" t="s">
        <v>80</v>
      </c>
      <c r="C10" s="52">
        <v>0</v>
      </c>
      <c r="F10" s="40" t="s">
        <v>69</v>
      </c>
      <c r="G10" s="8">
        <v>0.38</v>
      </c>
      <c r="J10" s="40" t="s">
        <v>63</v>
      </c>
      <c r="K10" s="3">
        <f>C16*C9*G10</f>
        <v>120.86298665304929</v>
      </c>
      <c r="N10" s="16" t="s">
        <v>13</v>
      </c>
      <c r="O10" s="16">
        <f>C11*G15*G38*G39*G41</f>
        <v>1574.886090951197</v>
      </c>
    </row>
    <row r="11" spans="1:15" x14ac:dyDescent="0.3">
      <c r="B11" s="40" t="s">
        <v>163</v>
      </c>
      <c r="C11" s="52">
        <v>1274.6747045383297</v>
      </c>
      <c r="F11" s="40" t="s">
        <v>70</v>
      </c>
      <c r="G11" s="8">
        <v>0.38</v>
      </c>
      <c r="J11" s="40" t="s">
        <v>64</v>
      </c>
      <c r="K11" s="3">
        <f>C17*C9</f>
        <v>1001.0535459629289</v>
      </c>
      <c r="N11" s="18"/>
      <c r="O11" s="18"/>
    </row>
    <row r="12" spans="1:15" ht="17.25" thickBot="1" x14ac:dyDescent="0.35">
      <c r="B12" s="40" t="s">
        <v>58</v>
      </c>
      <c r="C12" s="52">
        <v>88000</v>
      </c>
      <c r="F12" s="39" t="s">
        <v>48</v>
      </c>
      <c r="G12" s="10">
        <v>0.38</v>
      </c>
      <c r="J12" s="40" t="s">
        <v>65</v>
      </c>
      <c r="K12" s="3">
        <f>C18*C9*G9</f>
        <v>2541.8334254446108</v>
      </c>
      <c r="N12" s="47" t="s">
        <v>81</v>
      </c>
      <c r="O12" s="16">
        <f>C10</f>
        <v>0</v>
      </c>
    </row>
    <row r="13" spans="1:15" ht="15.75" thickBot="1" x14ac:dyDescent="0.35">
      <c r="B13" s="39" t="s">
        <v>56</v>
      </c>
      <c r="C13" s="55">
        <v>0</v>
      </c>
      <c r="J13" s="39" t="s">
        <v>66</v>
      </c>
      <c r="K13" s="11">
        <f>C19*C9*G12</f>
        <v>120.6509463255878</v>
      </c>
      <c r="N13" s="18"/>
      <c r="O13" s="18"/>
    </row>
    <row r="14" spans="1:15" ht="17.25" thickBot="1" x14ac:dyDescent="0.35">
      <c r="C14" s="54"/>
      <c r="F14" s="4" t="s">
        <v>59</v>
      </c>
      <c r="G14" s="5"/>
      <c r="J14" s="106"/>
      <c r="K14" s="106"/>
      <c r="N14" s="47" t="s">
        <v>82</v>
      </c>
      <c r="O14" s="16">
        <f>C9*C13</f>
        <v>0</v>
      </c>
    </row>
    <row r="15" spans="1:15" ht="17.25" thickBot="1" x14ac:dyDescent="0.35">
      <c r="B15" s="4" t="s">
        <v>51</v>
      </c>
      <c r="C15" s="5"/>
      <c r="F15" s="39" t="s">
        <v>71</v>
      </c>
      <c r="G15" s="41">
        <v>4.8</v>
      </c>
      <c r="J15" s="104" t="s">
        <v>61</v>
      </c>
      <c r="K15" s="103"/>
    </row>
    <row r="16" spans="1:15" ht="17.25" thickBot="1" x14ac:dyDescent="0.35">
      <c r="B16" s="40" t="s">
        <v>32</v>
      </c>
      <c r="C16" s="3">
        <v>51.300079224554025</v>
      </c>
      <c r="J16" s="42" t="s">
        <v>77</v>
      </c>
      <c r="K16" s="36">
        <f>C19*C33*G18*(1-G19)</f>
        <v>1115.201892246318</v>
      </c>
      <c r="N16" s="114" t="s">
        <v>93</v>
      </c>
      <c r="O16" s="115"/>
    </row>
    <row r="17" spans="2:21" ht="16.5" thickTop="1" thickBot="1" x14ac:dyDescent="0.35">
      <c r="B17" s="40" t="s">
        <v>40</v>
      </c>
      <c r="C17" s="3">
        <v>161.46024934885949</v>
      </c>
      <c r="F17" s="4" t="s">
        <v>29</v>
      </c>
      <c r="G17" s="5"/>
      <c r="J17" s="43" t="s">
        <v>78</v>
      </c>
      <c r="K17" s="7">
        <f>SUM(K32,K38,K44,K50,K56,K62,K69,K75,K81)</f>
        <v>61744.415179060015</v>
      </c>
      <c r="N17" s="108">
        <f>O8+O10+O12+O14</f>
        <v>19188.080630567896</v>
      </c>
      <c r="O17" s="108"/>
    </row>
    <row r="18" spans="2:21" ht="15.75" thickBot="1" x14ac:dyDescent="0.35">
      <c r="B18" s="40" t="s">
        <v>31</v>
      </c>
      <c r="C18" s="3">
        <v>1171.35180896065</v>
      </c>
      <c r="F18" s="2" t="s">
        <v>1</v>
      </c>
      <c r="G18" s="8">
        <v>0.34</v>
      </c>
      <c r="J18" s="22"/>
      <c r="K18" s="22"/>
      <c r="N18" s="109"/>
      <c r="O18" s="109"/>
    </row>
    <row r="19" spans="2:21" ht="15.75" thickBot="1" x14ac:dyDescent="0.35">
      <c r="B19" s="39" t="s">
        <v>41</v>
      </c>
      <c r="C19" s="11">
        <v>51.210079085563578</v>
      </c>
      <c r="F19" s="6" t="s">
        <v>2</v>
      </c>
      <c r="G19" s="10">
        <v>0.39</v>
      </c>
      <c r="J19" s="110" t="s">
        <v>67</v>
      </c>
      <c r="K19" s="111"/>
    </row>
    <row r="20" spans="2:21" ht="17.25" thickBot="1" x14ac:dyDescent="0.35">
      <c r="C20" s="54"/>
      <c r="J20" s="2" t="s">
        <v>9</v>
      </c>
      <c r="K20" s="3">
        <f>C12*G23*(1-G24)</f>
        <v>2376</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12.595819152175707</v>
      </c>
      <c r="F22" s="40" t="s">
        <v>43</v>
      </c>
      <c r="G22" s="8">
        <v>0.39</v>
      </c>
      <c r="J22" s="22"/>
      <c r="K22" s="22"/>
      <c r="N22" s="40" t="s">
        <v>84</v>
      </c>
      <c r="O22" s="48">
        <f>SUM(K9:K13)*G40*G41/N17</f>
        <v>8.7464798817184927E-2</v>
      </c>
      <c r="P22" s="17"/>
      <c r="Q22" s="17"/>
      <c r="R22" s="17"/>
      <c r="S22" s="29"/>
      <c r="T22" s="29"/>
      <c r="U22" s="13"/>
    </row>
    <row r="23" spans="2:21" ht="16.5" x14ac:dyDescent="0.35">
      <c r="B23" s="75" t="s">
        <v>34</v>
      </c>
      <c r="C23" s="52">
        <v>367.56890434985473</v>
      </c>
      <c r="F23" s="40" t="s">
        <v>3</v>
      </c>
      <c r="G23" s="12">
        <v>5.3999999999999999E-2</v>
      </c>
      <c r="J23" s="22"/>
      <c r="K23" s="22"/>
      <c r="N23" s="40" t="s">
        <v>85</v>
      </c>
      <c r="O23" s="49">
        <f>K16*G40*G41/N17</f>
        <v>1.4733296421220773E-2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3.797191361551201E-3</v>
      </c>
      <c r="P25" s="17"/>
      <c r="Q25" s="17"/>
      <c r="R25" s="17"/>
      <c r="S25" s="27"/>
      <c r="T25" s="27"/>
      <c r="U25" s="14"/>
    </row>
    <row r="26" spans="2:21" ht="16.5" x14ac:dyDescent="0.35">
      <c r="B26" s="75" t="s">
        <v>36</v>
      </c>
      <c r="C26" s="52">
        <v>0</v>
      </c>
      <c r="F26" s="2"/>
      <c r="G26" s="3"/>
      <c r="J26" s="107" t="s">
        <v>73</v>
      </c>
      <c r="K26" s="107"/>
      <c r="N26" s="40" t="s">
        <v>34</v>
      </c>
      <c r="O26" s="8">
        <f>K38*G40*G41/N17</f>
        <v>0.18398196972181216</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538.18500013841651</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58.677390617600857</v>
      </c>
      <c r="F29" s="40" t="s">
        <v>198</v>
      </c>
      <c r="G29" s="99">
        <v>3.8750500000000005E-3</v>
      </c>
      <c r="J29" s="40" t="s">
        <v>75</v>
      </c>
      <c r="K29" s="3">
        <f>C35*C22</f>
        <v>1385.5401067393277</v>
      </c>
      <c r="N29" s="40" t="s">
        <v>36</v>
      </c>
      <c r="O29" s="8">
        <f>K56*G40*G41/N17</f>
        <v>0</v>
      </c>
      <c r="P29" s="17"/>
      <c r="Q29" s="17"/>
      <c r="R29" s="17"/>
      <c r="S29" s="27"/>
      <c r="T29" s="27"/>
      <c r="U29" s="14"/>
    </row>
    <row r="30" spans="2:21" ht="17.25" thickBot="1" x14ac:dyDescent="0.35">
      <c r="B30" s="39" t="s">
        <v>39</v>
      </c>
      <c r="C30" s="55">
        <v>226.72474473916273</v>
      </c>
      <c r="F30" s="42" t="s">
        <v>199</v>
      </c>
      <c r="G30" s="99">
        <v>1.8E-3</v>
      </c>
      <c r="J30" s="2" t="s">
        <v>7</v>
      </c>
      <c r="K30" s="3">
        <f>C46*G27*C22</f>
        <v>1098.1207220642179</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287.41938467510977</v>
      </c>
      <c r="M31" s="17"/>
      <c r="N31" s="40" t="s">
        <v>87</v>
      </c>
      <c r="O31" s="8">
        <f>K69*G40*G41/N17</f>
        <v>0.4580725806195356</v>
      </c>
      <c r="P31" s="17"/>
      <c r="Q31" s="17"/>
      <c r="R31" s="17"/>
      <c r="S31" s="27"/>
      <c r="T31" s="27"/>
      <c r="U31" s="14"/>
    </row>
    <row r="32" spans="2:21" ht="17.25" thickBot="1" x14ac:dyDescent="0.35">
      <c r="B32" s="4" t="s">
        <v>72</v>
      </c>
      <c r="C32" s="5"/>
      <c r="F32" s="40" t="s">
        <v>201</v>
      </c>
      <c r="G32" s="99">
        <v>1.6585714285714283E-2</v>
      </c>
      <c r="J32" s="6" t="s">
        <v>11</v>
      </c>
      <c r="K32" s="11">
        <f>K31</f>
        <v>287.41938467510977</v>
      </c>
      <c r="M32" s="17"/>
      <c r="N32" s="40" t="s">
        <v>53</v>
      </c>
      <c r="O32" s="8">
        <f>K75*G40*G41/N17</f>
        <v>0.10446058200445321</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6.5413310828324134E-2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55870.47346117792</v>
      </c>
      <c r="N35" s="42" t="s">
        <v>89</v>
      </c>
      <c r="O35" s="8">
        <f>O10/N17</f>
        <v>8.207627022591818E-2</v>
      </c>
      <c r="P35" s="17"/>
      <c r="Q35" s="17"/>
      <c r="R35" s="17"/>
      <c r="S35" s="17"/>
      <c r="T35" s="17"/>
    </row>
    <row r="36" spans="2:20" ht="17.25" thickBot="1" x14ac:dyDescent="0.35">
      <c r="B36" s="75" t="s">
        <v>34</v>
      </c>
      <c r="C36" s="52">
        <v>152</v>
      </c>
      <c r="J36" s="2" t="s">
        <v>7</v>
      </c>
      <c r="K36" s="3">
        <f>C47*G28*C23</f>
        <v>41944.395080141105</v>
      </c>
      <c r="N36" s="42" t="s">
        <v>90</v>
      </c>
      <c r="O36" s="8">
        <f>O12/N17</f>
        <v>0</v>
      </c>
      <c r="P36" s="17"/>
      <c r="Q36" s="17"/>
      <c r="R36" s="17"/>
      <c r="S36" s="17"/>
      <c r="T36" s="17"/>
    </row>
    <row r="37" spans="2:20" ht="16.5" x14ac:dyDescent="0.3">
      <c r="B37" s="75" t="s">
        <v>35</v>
      </c>
      <c r="C37" s="52">
        <v>152</v>
      </c>
      <c r="F37" s="4" t="s">
        <v>30</v>
      </c>
      <c r="G37" s="15"/>
      <c r="H37" s="35"/>
      <c r="J37" s="2" t="s">
        <v>8</v>
      </c>
      <c r="K37" s="36">
        <f>K35-K36</f>
        <v>13926.078381036816</v>
      </c>
      <c r="N37" s="42" t="s">
        <v>91</v>
      </c>
      <c r="O37" s="8">
        <f>O14/N17</f>
        <v>0</v>
      </c>
      <c r="P37" s="17"/>
      <c r="Q37" s="17"/>
      <c r="R37" s="17"/>
      <c r="S37" s="17"/>
      <c r="T37" s="17"/>
    </row>
    <row r="38" spans="2:20" ht="18" thickBot="1" x14ac:dyDescent="0.4">
      <c r="B38" s="40" t="s">
        <v>54</v>
      </c>
      <c r="C38" s="56">
        <v>121</v>
      </c>
      <c r="F38" s="40" t="s">
        <v>68</v>
      </c>
      <c r="G38" s="8">
        <v>0.6</v>
      </c>
      <c r="H38" s="33"/>
      <c r="J38" s="6" t="s">
        <v>11</v>
      </c>
      <c r="K38" s="11">
        <f>K37</f>
        <v>13926.078381036816</v>
      </c>
      <c r="N38" s="50" t="s">
        <v>92</v>
      </c>
      <c r="O38" s="51">
        <f>SUM(O22:O37)</f>
        <v>1.0000000000000002</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107637.0000276833</v>
      </c>
      <c r="N66" s="17"/>
      <c r="O66" s="17"/>
      <c r="P66" s="30"/>
      <c r="Q66" s="30"/>
      <c r="R66" s="17"/>
      <c r="S66" s="17"/>
      <c r="T66" s="17"/>
    </row>
    <row r="67" spans="4:20" ht="16.5" x14ac:dyDescent="0.3">
      <c r="F67" s="20"/>
      <c r="G67" s="31"/>
      <c r="H67" s="20"/>
      <c r="J67" s="2" t="s">
        <v>7</v>
      </c>
      <c r="K67" s="3">
        <f>C52*G33*C28</f>
        <v>72964.283611194303</v>
      </c>
      <c r="N67" s="17"/>
      <c r="O67" s="17"/>
      <c r="P67" s="30"/>
      <c r="Q67" s="30"/>
      <c r="R67" s="17"/>
      <c r="S67" s="17"/>
      <c r="T67" s="17"/>
    </row>
    <row r="68" spans="4:20" ht="16.5" x14ac:dyDescent="0.3">
      <c r="F68" s="26"/>
      <c r="G68" s="22"/>
      <c r="H68" s="26"/>
      <c r="J68" s="2" t="s">
        <v>8</v>
      </c>
      <c r="K68" s="3">
        <f>(K65+K66)-K67</f>
        <v>34672.716416488998</v>
      </c>
      <c r="N68" s="17"/>
      <c r="O68" s="17"/>
      <c r="P68" s="30"/>
      <c r="Q68" s="30"/>
      <c r="R68" s="17"/>
      <c r="S68" s="17"/>
      <c r="T68" s="17"/>
    </row>
    <row r="69" spans="4:20" ht="17.25" thickBot="1" x14ac:dyDescent="0.35">
      <c r="F69" s="26"/>
      <c r="G69" s="22"/>
      <c r="H69" s="26"/>
      <c r="J69" s="6" t="s">
        <v>11</v>
      </c>
      <c r="K69" s="11">
        <f>K68</f>
        <v>34672.716416488998</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11852.832904755373</v>
      </c>
      <c r="N72" s="17"/>
      <c r="O72" s="17"/>
      <c r="P72" s="17"/>
      <c r="Q72" s="17"/>
      <c r="R72" s="17"/>
      <c r="S72" s="17"/>
      <c r="T72" s="17"/>
    </row>
    <row r="73" spans="4:20" ht="16.5" x14ac:dyDescent="0.3">
      <c r="J73" s="19" t="s">
        <v>14</v>
      </c>
      <c r="K73" s="3">
        <f>C53*G34*C29</f>
        <v>3945.9371642524225</v>
      </c>
      <c r="N73" s="17"/>
      <c r="O73" s="17"/>
      <c r="P73" s="17"/>
      <c r="Q73" s="17"/>
      <c r="R73" s="17"/>
      <c r="S73" s="17"/>
      <c r="T73" s="17"/>
    </row>
    <row r="74" spans="4:20" ht="16.5" x14ac:dyDescent="0.3">
      <c r="J74" s="19" t="s">
        <v>15</v>
      </c>
      <c r="K74" s="3">
        <f>K72-K73</f>
        <v>7906.8957405029505</v>
      </c>
      <c r="N74" s="17"/>
      <c r="O74" s="17"/>
      <c r="P74" s="17"/>
      <c r="Q74" s="17"/>
      <c r="R74" s="17"/>
      <c r="S74" s="17"/>
      <c r="T74" s="17"/>
    </row>
    <row r="75" spans="4:20" ht="17.25" thickBot="1" x14ac:dyDescent="0.35">
      <c r="J75" s="21" t="s">
        <v>16</v>
      </c>
      <c r="K75" s="11">
        <f>K74</f>
        <v>7906.8957405029505</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22445.749729177111</v>
      </c>
      <c r="N78" s="17"/>
      <c r="O78" s="17"/>
      <c r="P78" s="17"/>
      <c r="Q78" s="17"/>
      <c r="R78" s="17"/>
      <c r="S78" s="17"/>
      <c r="T78" s="17"/>
    </row>
    <row r="79" spans="4:20" ht="16.5" x14ac:dyDescent="0.3">
      <c r="J79" s="19" t="s">
        <v>14</v>
      </c>
      <c r="K79" s="3">
        <f>C54*G35*C30</f>
        <v>17494.444472820964</v>
      </c>
      <c r="N79" s="17"/>
      <c r="O79" s="17"/>
      <c r="P79" s="17"/>
      <c r="Q79" s="17"/>
      <c r="R79" s="17"/>
      <c r="S79" s="17"/>
      <c r="T79" s="17"/>
    </row>
    <row r="80" spans="4:20" ht="16.5" x14ac:dyDescent="0.3">
      <c r="J80" s="19" t="s">
        <v>15</v>
      </c>
      <c r="K80" s="3">
        <f>K78-K79</f>
        <v>4951.3052563561469</v>
      </c>
      <c r="N80" s="17"/>
      <c r="O80" s="17"/>
      <c r="P80" s="17"/>
      <c r="Q80" s="17"/>
      <c r="R80" s="17"/>
      <c r="S80" s="17"/>
      <c r="T80" s="17"/>
    </row>
    <row r="81" spans="10:20" ht="17.25" thickBot="1" x14ac:dyDescent="0.35">
      <c r="J81" s="21" t="s">
        <v>16</v>
      </c>
      <c r="K81" s="11">
        <f>K78-K79</f>
        <v>4951.3052563561469</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107</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36953.290307006195</v>
      </c>
    </row>
    <row r="9" spans="1:15" ht="16.5" x14ac:dyDescent="0.3">
      <c r="B9" s="40" t="s">
        <v>57</v>
      </c>
      <c r="C9" s="58">
        <v>6.2</v>
      </c>
      <c r="F9" s="40" t="s">
        <v>47</v>
      </c>
      <c r="G9" s="8">
        <v>0.35</v>
      </c>
      <c r="J9" s="40" t="s">
        <v>62</v>
      </c>
      <c r="K9" s="3">
        <f>SUM(C22:C30)*C9*G11</f>
        <v>5873.5170706832714</v>
      </c>
    </row>
    <row r="10" spans="1:15" ht="16.5" x14ac:dyDescent="0.3">
      <c r="A10" s="32" t="s">
        <v>24</v>
      </c>
      <c r="B10" s="40" t="s">
        <v>80</v>
      </c>
      <c r="C10" s="52">
        <v>0</v>
      </c>
      <c r="F10" s="40" t="s">
        <v>69</v>
      </c>
      <c r="G10" s="8">
        <v>0.38</v>
      </c>
      <c r="J10" s="40" t="s">
        <v>63</v>
      </c>
      <c r="K10" s="3">
        <f>C16*C9*G10</f>
        <v>216.49317433818129</v>
      </c>
      <c r="N10" s="16" t="s">
        <v>13</v>
      </c>
      <c r="O10" s="16">
        <f>C11*G15*G38*G39*G41</f>
        <v>2279.5833823266175</v>
      </c>
    </row>
    <row r="11" spans="1:15" x14ac:dyDescent="0.3">
      <c r="B11" s="40" t="s">
        <v>163</v>
      </c>
      <c r="C11" s="52">
        <v>1845.0396451102515</v>
      </c>
      <c r="F11" s="40" t="s">
        <v>70</v>
      </c>
      <c r="G11" s="8">
        <v>0.38</v>
      </c>
      <c r="J11" s="40" t="s">
        <v>64</v>
      </c>
      <c r="K11" s="3">
        <f>C17*C9</f>
        <v>1712.5046446824019</v>
      </c>
      <c r="N11" s="18"/>
      <c r="O11" s="18"/>
    </row>
    <row r="12" spans="1:15" ht="17.25" thickBot="1" x14ac:dyDescent="0.35">
      <c r="B12" s="40" t="s">
        <v>58</v>
      </c>
      <c r="C12" s="52">
        <v>792000</v>
      </c>
      <c r="F12" s="39" t="s">
        <v>48</v>
      </c>
      <c r="G12" s="10">
        <v>0.38</v>
      </c>
      <c r="J12" s="40" t="s">
        <v>65</v>
      </c>
      <c r="K12" s="3">
        <f>C18*C9*G9</f>
        <v>5841.6273214347884</v>
      </c>
      <c r="N12" s="47" t="s">
        <v>81</v>
      </c>
      <c r="O12" s="16">
        <f>C10</f>
        <v>0</v>
      </c>
    </row>
    <row r="13" spans="1:15" ht="15.75" thickBot="1" x14ac:dyDescent="0.35">
      <c r="B13" s="39" t="s">
        <v>56</v>
      </c>
      <c r="C13" s="55">
        <v>1661.7865036725559</v>
      </c>
      <c r="J13" s="39" t="s">
        <v>66</v>
      </c>
      <c r="K13" s="11">
        <f>C19*C9*G12</f>
        <v>277.13670799216737</v>
      </c>
      <c r="N13" s="18"/>
      <c r="O13" s="18"/>
    </row>
    <row r="14" spans="1:15" ht="17.25" thickBot="1" x14ac:dyDescent="0.35">
      <c r="C14" s="54"/>
      <c r="F14" s="4" t="s">
        <v>59</v>
      </c>
      <c r="G14" s="5"/>
      <c r="J14" s="106"/>
      <c r="K14" s="106"/>
      <c r="N14" s="47" t="s">
        <v>82</v>
      </c>
      <c r="O14" s="16">
        <f>C9*C13</f>
        <v>10303.076322769846</v>
      </c>
    </row>
    <row r="15" spans="1:15" ht="17.25" thickBot="1" x14ac:dyDescent="0.35">
      <c r="B15" s="4" t="s">
        <v>51</v>
      </c>
      <c r="C15" s="5"/>
      <c r="F15" s="39" t="s">
        <v>71</v>
      </c>
      <c r="G15" s="41">
        <v>4.8</v>
      </c>
      <c r="J15" s="104" t="s">
        <v>61</v>
      </c>
      <c r="K15" s="103"/>
    </row>
    <row r="16" spans="1:15" ht="17.25" thickBot="1" x14ac:dyDescent="0.35">
      <c r="B16" s="40" t="s">
        <v>32</v>
      </c>
      <c r="C16" s="3">
        <v>91.890141909245017</v>
      </c>
      <c r="J16" s="42" t="s">
        <v>77</v>
      </c>
      <c r="K16" s="36">
        <f>C19*C33*G18*(1-G19)</f>
        <v>2561.6324660209802</v>
      </c>
      <c r="N16" s="114" t="s">
        <v>93</v>
      </c>
      <c r="O16" s="115"/>
    </row>
    <row r="17" spans="2:21" ht="16.5" thickTop="1" thickBot="1" x14ac:dyDescent="0.35">
      <c r="B17" s="40" t="s">
        <v>40</v>
      </c>
      <c r="C17" s="3">
        <v>276.21042656167771</v>
      </c>
      <c r="F17" s="4" t="s">
        <v>29</v>
      </c>
      <c r="G17" s="5"/>
      <c r="J17" s="43" t="s">
        <v>78</v>
      </c>
      <c r="K17" s="7">
        <f>SUM(K32,K38,K44,K50,K56,K62,K69,K75,K81)</f>
        <v>129289.43696595746</v>
      </c>
      <c r="N17" s="108">
        <f>O8+O10+O12+O14</f>
        <v>49535.950012102658</v>
      </c>
      <c r="O17" s="108"/>
    </row>
    <row r="18" spans="2:21" ht="15.75" thickBot="1" x14ac:dyDescent="0.35">
      <c r="B18" s="40" t="s">
        <v>31</v>
      </c>
      <c r="C18" s="3">
        <v>2691.9941573432202</v>
      </c>
      <c r="F18" s="2" t="s">
        <v>1</v>
      </c>
      <c r="G18" s="8">
        <v>0.34</v>
      </c>
      <c r="J18" s="22"/>
      <c r="K18" s="22"/>
      <c r="N18" s="109"/>
      <c r="O18" s="109"/>
    </row>
    <row r="19" spans="2:21" ht="15.75" thickBot="1" x14ac:dyDescent="0.35">
      <c r="B19" s="39" t="s">
        <v>41</v>
      </c>
      <c r="C19" s="11">
        <v>117.63018166051248</v>
      </c>
      <c r="F19" s="6" t="s">
        <v>2</v>
      </c>
      <c r="G19" s="10">
        <v>0.39</v>
      </c>
      <c r="J19" s="110" t="s">
        <v>67</v>
      </c>
      <c r="K19" s="111"/>
    </row>
    <row r="20" spans="2:21" ht="17.25" thickBot="1" x14ac:dyDescent="0.35">
      <c r="C20" s="54"/>
      <c r="J20" s="2" t="s">
        <v>9</v>
      </c>
      <c r="K20" s="3">
        <f>C12*G23*(1-G24)</f>
        <v>21384</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25.908883407725479</v>
      </c>
      <c r="F22" s="40" t="s">
        <v>43</v>
      </c>
      <c r="G22" s="8">
        <v>0.39</v>
      </c>
      <c r="J22" s="22"/>
      <c r="K22" s="22"/>
      <c r="N22" s="40" t="s">
        <v>84</v>
      </c>
      <c r="O22" s="48">
        <f>SUM(K9:K13)*G40*G41/N17</f>
        <v>7.1242081864533569E-2</v>
      </c>
      <c r="P22" s="17"/>
      <c r="Q22" s="17"/>
      <c r="R22" s="17"/>
      <c r="S22" s="29"/>
      <c r="T22" s="29"/>
      <c r="U22" s="13"/>
    </row>
    <row r="23" spans="2:21" ht="16.5" x14ac:dyDescent="0.35">
      <c r="B23" s="75" t="s">
        <v>34</v>
      </c>
      <c r="C23" s="52">
        <v>756.06832489817066</v>
      </c>
      <c r="F23" s="40" t="s">
        <v>3</v>
      </c>
      <c r="G23" s="12">
        <v>5.3999999999999999E-2</v>
      </c>
      <c r="J23" s="22"/>
      <c r="K23" s="22"/>
      <c r="N23" s="40" t="s">
        <v>85</v>
      </c>
      <c r="O23" s="49">
        <f>K16*G40*G41/N17</f>
        <v>1.3109142551574424E-2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3.025490563329165E-3</v>
      </c>
      <c r="P25" s="17"/>
      <c r="Q25" s="17"/>
      <c r="R25" s="17"/>
      <c r="S25" s="27"/>
      <c r="T25" s="27"/>
      <c r="U25" s="14"/>
    </row>
    <row r="26" spans="2:21" ht="16.5" x14ac:dyDescent="0.35">
      <c r="B26" s="75" t="s">
        <v>36</v>
      </c>
      <c r="C26" s="52">
        <v>0</v>
      </c>
      <c r="F26" s="2"/>
      <c r="G26" s="3"/>
      <c r="J26" s="107" t="s">
        <v>73</v>
      </c>
      <c r="K26" s="107"/>
      <c r="N26" s="40" t="s">
        <v>34</v>
      </c>
      <c r="O26" s="8">
        <f>K38*G40*G41/N17</f>
        <v>0.14659143040625208</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1107.0159274209975</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137.65081296939212</v>
      </c>
      <c r="F29" s="40" t="s">
        <v>198</v>
      </c>
      <c r="G29" s="99">
        <v>3.8750500000000005E-3</v>
      </c>
      <c r="J29" s="40" t="s">
        <v>75</v>
      </c>
      <c r="K29" s="3">
        <f>C35*C22</f>
        <v>2849.9771748498029</v>
      </c>
      <c r="N29" s="40" t="s">
        <v>36</v>
      </c>
      <c r="O29" s="8">
        <f>K56*G40*G41/N17</f>
        <v>0</v>
      </c>
      <c r="P29" s="17"/>
      <c r="Q29" s="17"/>
      <c r="R29" s="17"/>
      <c r="S29" s="27"/>
      <c r="T29" s="27"/>
      <c r="U29" s="14"/>
    </row>
    <row r="30" spans="2:21" ht="17.25" thickBot="1" x14ac:dyDescent="0.35">
      <c r="B30" s="39" t="s">
        <v>39</v>
      </c>
      <c r="C30" s="55">
        <v>466.35990133905858</v>
      </c>
      <c r="F30" s="42" t="s">
        <v>199</v>
      </c>
      <c r="G30" s="99">
        <v>1.8E-3</v>
      </c>
      <c r="J30" s="2" t="s">
        <v>7</v>
      </c>
      <c r="K30" s="3">
        <f>C46*G27*C22</f>
        <v>2258.7718521391052</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591.2053227106976</v>
      </c>
      <c r="M31" s="17"/>
      <c r="N31" s="40" t="s">
        <v>87</v>
      </c>
      <c r="O31" s="8">
        <f>K69*G40*G41/N17</f>
        <v>0.36497877984692523</v>
      </c>
      <c r="P31" s="17"/>
      <c r="Q31" s="17"/>
      <c r="R31" s="17"/>
      <c r="S31" s="27"/>
      <c r="T31" s="27"/>
      <c r="U31" s="14"/>
    </row>
    <row r="32" spans="2:21" ht="17.25" thickBot="1" x14ac:dyDescent="0.35">
      <c r="B32" s="4" t="s">
        <v>72</v>
      </c>
      <c r="C32" s="5"/>
      <c r="F32" s="40" t="s">
        <v>201</v>
      </c>
      <c r="G32" s="99">
        <v>1.6585714285714283E-2</v>
      </c>
      <c r="J32" s="6" t="s">
        <v>11</v>
      </c>
      <c r="K32" s="11">
        <f>K31</f>
        <v>591.2053227106976</v>
      </c>
      <c r="M32" s="17"/>
      <c r="N32" s="40" t="s">
        <v>53</v>
      </c>
      <c r="O32" s="8">
        <f>K75*G40*G41/N17</f>
        <v>9.4923002675560725E-2</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5.211940505056991E-2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114922.38538452194</v>
      </c>
      <c r="N35" s="42" t="s">
        <v>89</v>
      </c>
      <c r="O35" s="8">
        <f>O10/N17</f>
        <v>4.6018767819526386E-2</v>
      </c>
      <c r="P35" s="17"/>
      <c r="Q35" s="17"/>
      <c r="R35" s="17"/>
      <c r="S35" s="17"/>
      <c r="T35" s="17"/>
    </row>
    <row r="36" spans="2:20" ht="17.25" thickBot="1" x14ac:dyDescent="0.35">
      <c r="B36" s="75" t="s">
        <v>34</v>
      </c>
      <c r="C36" s="52">
        <v>152</v>
      </c>
      <c r="J36" s="2" t="s">
        <v>7</v>
      </c>
      <c r="K36" s="3">
        <f>C47*G28*C23</f>
        <v>86277.234422759706</v>
      </c>
      <c r="N36" s="42" t="s">
        <v>90</v>
      </c>
      <c r="O36" s="8">
        <f>O12/N17</f>
        <v>0</v>
      </c>
      <c r="P36" s="17"/>
      <c r="Q36" s="17"/>
      <c r="R36" s="17"/>
      <c r="S36" s="17"/>
      <c r="T36" s="17"/>
    </row>
    <row r="37" spans="2:20" ht="16.5" x14ac:dyDescent="0.3">
      <c r="B37" s="75" t="s">
        <v>35</v>
      </c>
      <c r="C37" s="52">
        <v>152</v>
      </c>
      <c r="F37" s="4" t="s">
        <v>30</v>
      </c>
      <c r="G37" s="15"/>
      <c r="H37" s="35"/>
      <c r="J37" s="2" t="s">
        <v>8</v>
      </c>
      <c r="K37" s="36">
        <f>K35-K36</f>
        <v>28645.150961762236</v>
      </c>
      <c r="N37" s="42" t="s">
        <v>91</v>
      </c>
      <c r="O37" s="8">
        <f>O14/N17</f>
        <v>0.2079918992217287</v>
      </c>
      <c r="P37" s="17"/>
      <c r="Q37" s="17"/>
      <c r="R37" s="17"/>
      <c r="S37" s="17"/>
      <c r="T37" s="17"/>
    </row>
    <row r="38" spans="2:20" ht="18" thickBot="1" x14ac:dyDescent="0.4">
      <c r="B38" s="40" t="s">
        <v>54</v>
      </c>
      <c r="C38" s="56">
        <v>121</v>
      </c>
      <c r="F38" s="40" t="s">
        <v>68</v>
      </c>
      <c r="G38" s="8">
        <v>0.6</v>
      </c>
      <c r="H38" s="33"/>
      <c r="J38" s="6" t="s">
        <v>11</v>
      </c>
      <c r="K38" s="11">
        <f>K37</f>
        <v>28645.150961762236</v>
      </c>
      <c r="N38" s="50" t="s">
        <v>92</v>
      </c>
      <c r="O38" s="51">
        <f>SUM(O22:O37)</f>
        <v>1.0000000000000002</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221403.18548419949</v>
      </c>
      <c r="N66" s="17"/>
      <c r="O66" s="17"/>
      <c r="P66" s="30"/>
      <c r="Q66" s="30"/>
      <c r="R66" s="17"/>
      <c r="S66" s="17"/>
      <c r="T66" s="17"/>
    </row>
    <row r="67" spans="4:20" ht="16.5" x14ac:dyDescent="0.3">
      <c r="F67" s="20"/>
      <c r="G67" s="31"/>
      <c r="H67" s="20"/>
      <c r="J67" s="2" t="s">
        <v>7</v>
      </c>
      <c r="K67" s="3">
        <f>C52*G33*C28</f>
        <v>150083.38037975962</v>
      </c>
      <c r="N67" s="17"/>
      <c r="O67" s="17"/>
      <c r="P67" s="30"/>
      <c r="Q67" s="30"/>
      <c r="R67" s="17"/>
      <c r="S67" s="17"/>
      <c r="T67" s="17"/>
    </row>
    <row r="68" spans="4:20" ht="16.5" x14ac:dyDescent="0.3">
      <c r="F68" s="26"/>
      <c r="G68" s="22"/>
      <c r="H68" s="26"/>
      <c r="J68" s="2" t="s">
        <v>8</v>
      </c>
      <c r="K68" s="3">
        <f>(K65+K66)-K67</f>
        <v>71319.805104439874</v>
      </c>
      <c r="N68" s="17"/>
      <c r="O68" s="17"/>
      <c r="P68" s="30"/>
      <c r="Q68" s="30"/>
      <c r="R68" s="17"/>
      <c r="S68" s="17"/>
      <c r="T68" s="17"/>
    </row>
    <row r="69" spans="4:20" ht="17.25" thickBot="1" x14ac:dyDescent="0.35">
      <c r="F69" s="26"/>
      <c r="G69" s="22"/>
      <c r="H69" s="26"/>
      <c r="J69" s="6" t="s">
        <v>11</v>
      </c>
      <c r="K69" s="11">
        <f>K68</f>
        <v>71319.805104439874</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27805.464219817208</v>
      </c>
      <c r="N72" s="17"/>
      <c r="O72" s="17"/>
      <c r="P72" s="17"/>
      <c r="Q72" s="17"/>
      <c r="R72" s="17"/>
      <c r="S72" s="17"/>
      <c r="T72" s="17"/>
    </row>
    <row r="73" spans="4:20" ht="16.5" x14ac:dyDescent="0.3">
      <c r="J73" s="19" t="s">
        <v>14</v>
      </c>
      <c r="K73" s="3">
        <f>C53*G34*C29</f>
        <v>9256.7418705656819</v>
      </c>
      <c r="N73" s="17"/>
      <c r="O73" s="17"/>
      <c r="P73" s="17"/>
      <c r="Q73" s="17"/>
      <c r="R73" s="17"/>
      <c r="S73" s="17"/>
      <c r="T73" s="17"/>
    </row>
    <row r="74" spans="4:20" ht="16.5" x14ac:dyDescent="0.3">
      <c r="J74" s="19" t="s">
        <v>15</v>
      </c>
      <c r="K74" s="3">
        <f>K72-K73</f>
        <v>18548.722349251526</v>
      </c>
      <c r="N74" s="17"/>
      <c r="O74" s="17"/>
      <c r="P74" s="17"/>
      <c r="Q74" s="17"/>
      <c r="R74" s="17"/>
      <c r="S74" s="17"/>
      <c r="T74" s="17"/>
    </row>
    <row r="75" spans="4:20" ht="17.25" thickBot="1" x14ac:dyDescent="0.35">
      <c r="J75" s="21" t="s">
        <v>16</v>
      </c>
      <c r="K75" s="11">
        <f>K74</f>
        <v>18548.722349251526</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46169.6302325668</v>
      </c>
      <c r="N78" s="17"/>
      <c r="O78" s="17"/>
      <c r="P78" s="17"/>
      <c r="Q78" s="17"/>
      <c r="R78" s="17"/>
      <c r="S78" s="17"/>
      <c r="T78" s="17"/>
    </row>
    <row r="79" spans="4:20" ht="16.5" x14ac:dyDescent="0.3">
      <c r="J79" s="19" t="s">
        <v>14</v>
      </c>
      <c r="K79" s="3">
        <f>C54*G35*C30</f>
        <v>35985.077004773659</v>
      </c>
      <c r="N79" s="17"/>
      <c r="O79" s="17"/>
      <c r="P79" s="17"/>
      <c r="Q79" s="17"/>
      <c r="R79" s="17"/>
      <c r="S79" s="17"/>
      <c r="T79" s="17"/>
    </row>
    <row r="80" spans="4:20" ht="16.5" x14ac:dyDescent="0.3">
      <c r="J80" s="19" t="s">
        <v>15</v>
      </c>
      <c r="K80" s="3">
        <f>K78-K79</f>
        <v>10184.553227793142</v>
      </c>
      <c r="N80" s="17"/>
      <c r="O80" s="17"/>
      <c r="P80" s="17"/>
      <c r="Q80" s="17"/>
      <c r="R80" s="17"/>
      <c r="S80" s="17"/>
      <c r="T80" s="17"/>
    </row>
    <row r="81" spans="10:20" ht="17.25" thickBot="1" x14ac:dyDescent="0.35">
      <c r="J81" s="21" t="s">
        <v>16</v>
      </c>
      <c r="K81" s="11">
        <f>K78-K79</f>
        <v>10184.553227793142</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108</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2227.1671715155717</v>
      </c>
    </row>
    <row r="9" spans="1:15" ht="16.5" x14ac:dyDescent="0.3">
      <c r="B9" s="40" t="s">
        <v>57</v>
      </c>
      <c r="C9" s="58">
        <v>6.2</v>
      </c>
      <c r="F9" s="40" t="s">
        <v>47</v>
      </c>
      <c r="G9" s="8">
        <v>0.35</v>
      </c>
      <c r="J9" s="40" t="s">
        <v>62</v>
      </c>
      <c r="K9" s="3">
        <f>SUM(C22:C30)*C9*G11</f>
        <v>355.80366948038011</v>
      </c>
    </row>
    <row r="10" spans="1:15" ht="16.5" x14ac:dyDescent="0.3">
      <c r="A10" s="32" t="s">
        <v>24</v>
      </c>
      <c r="B10" s="40" t="s">
        <v>80</v>
      </c>
      <c r="C10" s="52">
        <v>0</v>
      </c>
      <c r="F10" s="40" t="s">
        <v>69</v>
      </c>
      <c r="G10" s="8">
        <v>0.38</v>
      </c>
      <c r="J10" s="40" t="s">
        <v>63</v>
      </c>
      <c r="K10" s="3">
        <f>C16*C9*G10</f>
        <v>22.688315038379425</v>
      </c>
      <c r="N10" s="16" t="s">
        <v>13</v>
      </c>
      <c r="O10" s="16">
        <f>C11*G15*G38*G39*G41</f>
        <v>294.90092732858841</v>
      </c>
    </row>
    <row r="11" spans="1:15" x14ac:dyDescent="0.3">
      <c r="B11" s="40" t="s">
        <v>163</v>
      </c>
      <c r="C11" s="52">
        <v>238.68567674225298</v>
      </c>
      <c r="F11" s="40" t="s">
        <v>70</v>
      </c>
      <c r="G11" s="8">
        <v>0.38</v>
      </c>
      <c r="J11" s="40" t="s">
        <v>64</v>
      </c>
      <c r="K11" s="3">
        <f>C17*C9</f>
        <v>249.98438605986183</v>
      </c>
      <c r="N11" s="18"/>
      <c r="O11" s="18"/>
    </row>
    <row r="12" spans="1:15" ht="17.25" thickBot="1" x14ac:dyDescent="0.35">
      <c r="B12" s="40" t="s">
        <v>58</v>
      </c>
      <c r="C12" s="52">
        <v>0</v>
      </c>
      <c r="F12" s="39" t="s">
        <v>48</v>
      </c>
      <c r="G12" s="10">
        <v>0.38</v>
      </c>
      <c r="J12" s="40" t="s">
        <v>65</v>
      </c>
      <c r="K12" s="3">
        <f>C18*C9*G9</f>
        <v>379.07788542358742</v>
      </c>
      <c r="N12" s="47" t="s">
        <v>81</v>
      </c>
      <c r="O12" s="16">
        <f>C10</f>
        <v>0</v>
      </c>
    </row>
    <row r="13" spans="1:15" ht="15.75" thickBot="1" x14ac:dyDescent="0.35">
      <c r="B13" s="39" t="s">
        <v>56</v>
      </c>
      <c r="C13" s="55">
        <v>653.65072178327569</v>
      </c>
      <c r="J13" s="39" t="s">
        <v>66</v>
      </c>
      <c r="K13" s="11">
        <f>C19*C9*G12</f>
        <v>66.156582167984865</v>
      </c>
      <c r="N13" s="18"/>
      <c r="O13" s="18"/>
    </row>
    <row r="14" spans="1:15" ht="17.25" thickBot="1" x14ac:dyDescent="0.35">
      <c r="C14" s="54"/>
      <c r="F14" s="4" t="s">
        <v>59</v>
      </c>
      <c r="G14" s="5"/>
      <c r="J14" s="106"/>
      <c r="K14" s="106"/>
      <c r="N14" s="47" t="s">
        <v>82</v>
      </c>
      <c r="O14" s="16">
        <f>C9*C13</f>
        <v>4052.6344750563094</v>
      </c>
    </row>
    <row r="15" spans="1:15" ht="17.25" thickBot="1" x14ac:dyDescent="0.35">
      <c r="B15" s="4" t="s">
        <v>51</v>
      </c>
      <c r="C15" s="5"/>
      <c r="F15" s="39" t="s">
        <v>71</v>
      </c>
      <c r="G15" s="41">
        <v>4.8</v>
      </c>
      <c r="J15" s="104" t="s">
        <v>61</v>
      </c>
      <c r="K15" s="103"/>
    </row>
    <row r="16" spans="1:15" ht="17.25" thickBot="1" x14ac:dyDescent="0.35">
      <c r="B16" s="40" t="s">
        <v>32</v>
      </c>
      <c r="C16" s="3">
        <v>9.6300148719776839</v>
      </c>
      <c r="J16" s="42" t="s">
        <v>77</v>
      </c>
      <c r="K16" s="36">
        <f>C19*C33*G18*(1-G19)</f>
        <v>611.49910436001971</v>
      </c>
      <c r="N16" s="114" t="s">
        <v>93</v>
      </c>
      <c r="O16" s="115"/>
    </row>
    <row r="17" spans="2:21" ht="16.5" thickTop="1" thickBot="1" x14ac:dyDescent="0.35">
      <c r="B17" s="40" t="s">
        <v>40</v>
      </c>
      <c r="C17" s="3">
        <v>40.320062267719649</v>
      </c>
      <c r="F17" s="4" t="s">
        <v>29</v>
      </c>
      <c r="G17" s="5"/>
      <c r="J17" s="43" t="s">
        <v>78</v>
      </c>
      <c r="K17" s="7">
        <f>SUM(K32,K38,K44,K50,K56,K62,K69,K75,K81)</f>
        <v>7100.4593731130672</v>
      </c>
      <c r="N17" s="108">
        <f>O8+O10+O12+O14</f>
        <v>6574.7025739004694</v>
      </c>
      <c r="O17" s="108"/>
    </row>
    <row r="18" spans="2:21" ht="15.75" thickBot="1" x14ac:dyDescent="0.35">
      <c r="B18" s="40" t="s">
        <v>31</v>
      </c>
      <c r="C18" s="3">
        <v>174.69026978045503</v>
      </c>
      <c r="F18" s="2" t="s">
        <v>1</v>
      </c>
      <c r="G18" s="8">
        <v>0.34</v>
      </c>
      <c r="J18" s="22"/>
      <c r="K18" s="22"/>
      <c r="N18" s="109"/>
      <c r="O18" s="109"/>
    </row>
    <row r="19" spans="2:21" ht="15.75" thickBot="1" x14ac:dyDescent="0.35">
      <c r="B19" s="39" t="s">
        <v>41</v>
      </c>
      <c r="C19" s="11">
        <v>28.080043365019044</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1.6612225654856458</v>
      </c>
      <c r="F22" s="40" t="s">
        <v>43</v>
      </c>
      <c r="G22" s="8">
        <v>0.39</v>
      </c>
      <c r="J22" s="22"/>
      <c r="K22" s="22"/>
      <c r="N22" s="40" t="s">
        <v>84</v>
      </c>
      <c r="O22" s="48">
        <f>SUM(K9:K13)*G40*G41/N17</f>
        <v>4.1398936973458984E-2</v>
      </c>
      <c r="P22" s="17"/>
      <c r="Q22" s="17"/>
      <c r="R22" s="17"/>
      <c r="S22" s="29"/>
      <c r="T22" s="29"/>
      <c r="U22" s="13"/>
    </row>
    <row r="23" spans="2:21" ht="16.5" x14ac:dyDescent="0.35">
      <c r="B23" s="75" t="s">
        <v>34</v>
      </c>
      <c r="C23" s="52">
        <v>48.477494865535661</v>
      </c>
      <c r="F23" s="40" t="s">
        <v>3</v>
      </c>
      <c r="G23" s="12">
        <v>5.3999999999999999E-2</v>
      </c>
      <c r="J23" s="22"/>
      <c r="K23" s="22"/>
      <c r="N23" s="40" t="s">
        <v>85</v>
      </c>
      <c r="O23" s="49">
        <f>K16*G40*G41/N17</f>
        <v>2.3577495896259487E-2</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1.4615689670183138E-3</v>
      </c>
      <c r="P25" s="17"/>
      <c r="Q25" s="17"/>
      <c r="R25" s="17"/>
      <c r="S25" s="27"/>
      <c r="T25" s="27"/>
      <c r="U25" s="14"/>
    </row>
    <row r="26" spans="2:21" ht="16.5" x14ac:dyDescent="0.35">
      <c r="B26" s="75" t="s">
        <v>36</v>
      </c>
      <c r="C26" s="52">
        <v>0</v>
      </c>
      <c r="F26" s="2"/>
      <c r="G26" s="3"/>
      <c r="J26" s="107" t="s">
        <v>73</v>
      </c>
      <c r="K26" s="107"/>
      <c r="N26" s="40" t="s">
        <v>34</v>
      </c>
      <c r="O26" s="8">
        <f>K38*G40*G41/N17</f>
        <v>7.0816114288865709E-2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70.979509616204851</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182.73448220342104</v>
      </c>
      <c r="N29" s="40" t="s">
        <v>36</v>
      </c>
      <c r="O29" s="8">
        <f>K56*G40*G41/N17</f>
        <v>0</v>
      </c>
      <c r="P29" s="17"/>
      <c r="Q29" s="17"/>
      <c r="R29" s="17"/>
      <c r="S29" s="27"/>
      <c r="T29" s="27"/>
      <c r="U29" s="14"/>
    </row>
    <row r="30" spans="2:21" ht="17.25" thickBot="1" x14ac:dyDescent="0.35">
      <c r="B30" s="39" t="s">
        <v>39</v>
      </c>
      <c r="C30" s="55">
        <v>29.902006178741622</v>
      </c>
      <c r="F30" s="42" t="s">
        <v>199</v>
      </c>
      <c r="G30" s="99">
        <v>1.8E-3</v>
      </c>
      <c r="J30" s="2" t="s">
        <v>7</v>
      </c>
      <c r="K30" s="3">
        <f>C46*G27*C22</f>
        <v>144.82765281727367</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37.906829386147365</v>
      </c>
      <c r="M31" s="17"/>
      <c r="N31" s="40" t="s">
        <v>87</v>
      </c>
      <c r="O31" s="8">
        <f>K69*G40*G41/N17</f>
        <v>0.17631575676028244</v>
      </c>
      <c r="P31" s="17"/>
      <c r="Q31" s="17"/>
      <c r="R31" s="17"/>
      <c r="S31" s="27"/>
      <c r="T31" s="27"/>
      <c r="U31" s="14"/>
    </row>
    <row r="32" spans="2:21" ht="17.25" thickBot="1" x14ac:dyDescent="0.35">
      <c r="B32" s="4" t="s">
        <v>72</v>
      </c>
      <c r="C32" s="5"/>
      <c r="F32" s="40" t="s">
        <v>201</v>
      </c>
      <c r="G32" s="99">
        <v>1.6585714285714283E-2</v>
      </c>
      <c r="J32" s="6" t="s">
        <v>11</v>
      </c>
      <c r="K32" s="11">
        <f>K31</f>
        <v>37.906829386147365</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2.5178100346658662E-2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7368.5792195614204</v>
      </c>
      <c r="N35" s="42" t="s">
        <v>89</v>
      </c>
      <c r="O35" s="8">
        <f>O10/N17</f>
        <v>4.4853881071252356E-2</v>
      </c>
      <c r="P35" s="17"/>
      <c r="Q35" s="17"/>
      <c r="R35" s="17"/>
      <c r="S35" s="17"/>
      <c r="T35" s="17"/>
    </row>
    <row r="36" spans="2:20" ht="17.25" thickBot="1" x14ac:dyDescent="0.35">
      <c r="B36" s="75" t="s">
        <v>34</v>
      </c>
      <c r="C36" s="52">
        <v>152</v>
      </c>
      <c r="J36" s="2" t="s">
        <v>7</v>
      </c>
      <c r="K36" s="3">
        <f>C47*G28*C23</f>
        <v>5531.9129912038852</v>
      </c>
      <c r="N36" s="42" t="s">
        <v>90</v>
      </c>
      <c r="O36" s="8">
        <f>O12/N17</f>
        <v>0</v>
      </c>
      <c r="P36" s="17"/>
      <c r="Q36" s="17"/>
      <c r="R36" s="17"/>
      <c r="S36" s="17"/>
      <c r="T36" s="17"/>
    </row>
    <row r="37" spans="2:20" ht="16.5" x14ac:dyDescent="0.3">
      <c r="B37" s="75" t="s">
        <v>35</v>
      </c>
      <c r="C37" s="52">
        <v>152</v>
      </c>
      <c r="F37" s="4" t="s">
        <v>30</v>
      </c>
      <c r="G37" s="15"/>
      <c r="H37" s="35"/>
      <c r="J37" s="2" t="s">
        <v>8</v>
      </c>
      <c r="K37" s="36">
        <f>K35-K36</f>
        <v>1836.6662283575351</v>
      </c>
      <c r="N37" s="42" t="s">
        <v>91</v>
      </c>
      <c r="O37" s="8">
        <f>O14/N17</f>
        <v>0.6163981456962041</v>
      </c>
      <c r="P37" s="17"/>
      <c r="Q37" s="17"/>
      <c r="R37" s="17"/>
      <c r="S37" s="17"/>
      <c r="T37" s="17"/>
    </row>
    <row r="38" spans="2:20" ht="18" thickBot="1" x14ac:dyDescent="0.4">
      <c r="B38" s="40" t="s">
        <v>54</v>
      </c>
      <c r="C38" s="56">
        <v>121</v>
      </c>
      <c r="F38" s="40" t="s">
        <v>68</v>
      </c>
      <c r="G38" s="8">
        <v>0.6</v>
      </c>
      <c r="H38" s="33"/>
      <c r="J38" s="6" t="s">
        <v>11</v>
      </c>
      <c r="K38" s="11">
        <f>K37</f>
        <v>1836.6662283575351</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14195.90192324097</v>
      </c>
      <c r="N66" s="17"/>
      <c r="O66" s="17"/>
      <c r="P66" s="30"/>
      <c r="Q66" s="30"/>
      <c r="R66" s="17"/>
      <c r="S66" s="17"/>
      <c r="T66" s="17"/>
    </row>
    <row r="67" spans="4:20" ht="16.5" x14ac:dyDescent="0.3">
      <c r="F67" s="20"/>
      <c r="G67" s="31"/>
      <c r="H67" s="20"/>
      <c r="J67" s="2" t="s">
        <v>7</v>
      </c>
      <c r="K67" s="3">
        <f>C52*G33*C28</f>
        <v>9623.0275256431869</v>
      </c>
      <c r="N67" s="17"/>
      <c r="O67" s="17"/>
      <c r="P67" s="30"/>
      <c r="Q67" s="30"/>
      <c r="R67" s="17"/>
      <c r="S67" s="17"/>
      <c r="T67" s="17"/>
    </row>
    <row r="68" spans="4:20" ht="16.5" x14ac:dyDescent="0.3">
      <c r="F68" s="26"/>
      <c r="G68" s="22"/>
      <c r="H68" s="26"/>
      <c r="J68" s="2" t="s">
        <v>8</v>
      </c>
      <c r="K68" s="3">
        <f>(K65+K66)-K67</f>
        <v>4572.8743975977832</v>
      </c>
      <c r="N68" s="17"/>
      <c r="O68" s="17"/>
      <c r="P68" s="30"/>
      <c r="Q68" s="30"/>
      <c r="R68" s="17"/>
      <c r="S68" s="17"/>
      <c r="T68" s="17"/>
    </row>
    <row r="69" spans="4:20" ht="17.25" thickBot="1" x14ac:dyDescent="0.35">
      <c r="F69" s="26"/>
      <c r="G69" s="22"/>
      <c r="H69" s="26"/>
      <c r="J69" s="6" t="s">
        <v>11</v>
      </c>
      <c r="K69" s="11">
        <f>K68</f>
        <v>4572.8743975977832</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2960.2986116954207</v>
      </c>
      <c r="N78" s="17"/>
      <c r="O78" s="17"/>
      <c r="P78" s="17"/>
      <c r="Q78" s="17"/>
      <c r="R78" s="17"/>
      <c r="S78" s="17"/>
      <c r="T78" s="17"/>
    </row>
    <row r="79" spans="4:20" ht="16.5" x14ac:dyDescent="0.3">
      <c r="J79" s="19" t="s">
        <v>14</v>
      </c>
      <c r="K79" s="3">
        <f>C54*G35*C30</f>
        <v>2307.2866939238193</v>
      </c>
      <c r="N79" s="17"/>
      <c r="O79" s="17"/>
      <c r="P79" s="17"/>
      <c r="Q79" s="17"/>
      <c r="R79" s="17"/>
      <c r="S79" s="17"/>
      <c r="T79" s="17"/>
    </row>
    <row r="80" spans="4:20" ht="16.5" x14ac:dyDescent="0.3">
      <c r="J80" s="19" t="s">
        <v>15</v>
      </c>
      <c r="K80" s="3">
        <f>K78-K79</f>
        <v>653.01191777160147</v>
      </c>
      <c r="N80" s="17"/>
      <c r="O80" s="17"/>
      <c r="P80" s="17"/>
      <c r="Q80" s="17"/>
      <c r="R80" s="17"/>
      <c r="S80" s="17"/>
      <c r="T80" s="17"/>
    </row>
    <row r="81" spans="10:20" ht="17.25" thickBot="1" x14ac:dyDescent="0.35">
      <c r="J81" s="21" t="s">
        <v>16</v>
      </c>
      <c r="K81" s="11">
        <f>K78-K79</f>
        <v>653.01191777160147</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109</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1216.2672738274807</v>
      </c>
    </row>
    <row r="9" spans="1:15" ht="16.5" x14ac:dyDescent="0.3">
      <c r="B9" s="40" t="s">
        <v>57</v>
      </c>
      <c r="C9" s="58">
        <v>6.2</v>
      </c>
      <c r="F9" s="40" t="s">
        <v>47</v>
      </c>
      <c r="G9" s="8">
        <v>0.35</v>
      </c>
      <c r="J9" s="40" t="s">
        <v>62</v>
      </c>
      <c r="K9" s="3">
        <f>SUM(C22:C30)*C9*G11</f>
        <v>181.93060096195839</v>
      </c>
    </row>
    <row r="10" spans="1:15" ht="16.5" x14ac:dyDescent="0.3">
      <c r="A10" s="32" t="s">
        <v>24</v>
      </c>
      <c r="B10" s="40" t="s">
        <v>80</v>
      </c>
      <c r="C10" s="52">
        <v>0</v>
      </c>
      <c r="F10" s="40" t="s">
        <v>69</v>
      </c>
      <c r="G10" s="8">
        <v>0.38</v>
      </c>
      <c r="J10" s="40" t="s">
        <v>63</v>
      </c>
      <c r="K10" s="3">
        <f>C16*C9*G10</f>
        <v>5.9371291689217189</v>
      </c>
      <c r="N10" s="16" t="s">
        <v>13</v>
      </c>
      <c r="O10" s="16">
        <f>C11*G15*G38*G39*G41</f>
        <v>111.51890019423863</v>
      </c>
    </row>
    <row r="11" spans="1:15" x14ac:dyDescent="0.3">
      <c r="B11" s="40" t="s">
        <v>163</v>
      </c>
      <c r="C11" s="52">
        <v>90.260700105411999</v>
      </c>
      <c r="F11" s="40" t="s">
        <v>70</v>
      </c>
      <c r="G11" s="8">
        <v>0.38</v>
      </c>
      <c r="J11" s="40" t="s">
        <v>64</v>
      </c>
      <c r="K11" s="3">
        <f>C17*C9</f>
        <v>250.5423869216026</v>
      </c>
      <c r="N11" s="18"/>
      <c r="O11" s="18"/>
    </row>
    <row r="12" spans="1:15" ht="17.25" thickBot="1" x14ac:dyDescent="0.35">
      <c r="B12" s="40" t="s">
        <v>58</v>
      </c>
      <c r="C12" s="52">
        <v>0</v>
      </c>
      <c r="F12" s="39" t="s">
        <v>48</v>
      </c>
      <c r="G12" s="10">
        <v>0.38</v>
      </c>
      <c r="J12" s="40" t="s">
        <v>65</v>
      </c>
      <c r="K12" s="3">
        <f>C18*C9*G9</f>
        <v>298.80946146217855</v>
      </c>
      <c r="N12" s="47" t="s">
        <v>81</v>
      </c>
      <c r="O12" s="16">
        <f>C10</f>
        <v>0</v>
      </c>
    </row>
    <row r="13" spans="1:15" ht="15.75" thickBot="1" x14ac:dyDescent="0.35">
      <c r="B13" s="39" t="s">
        <v>56</v>
      </c>
      <c r="C13" s="55">
        <v>1544.0204623192303</v>
      </c>
      <c r="J13" s="39" t="s">
        <v>66</v>
      </c>
      <c r="K13" s="11">
        <f>C19*C9*G12</f>
        <v>41.983984837375004</v>
      </c>
      <c r="N13" s="18"/>
      <c r="O13" s="18"/>
    </row>
    <row r="14" spans="1:15" ht="17.25" thickBot="1" x14ac:dyDescent="0.35">
      <c r="C14" s="54"/>
      <c r="F14" s="4" t="s">
        <v>59</v>
      </c>
      <c r="G14" s="5"/>
      <c r="J14" s="106"/>
      <c r="K14" s="106"/>
      <c r="N14" s="47" t="s">
        <v>82</v>
      </c>
      <c r="O14" s="16">
        <f>C9*C13</f>
        <v>9572.9268663792282</v>
      </c>
    </row>
    <row r="15" spans="1:15" ht="17.25" thickBot="1" x14ac:dyDescent="0.35">
      <c r="B15" s="4" t="s">
        <v>51</v>
      </c>
      <c r="C15" s="5"/>
      <c r="F15" s="39" t="s">
        <v>71</v>
      </c>
      <c r="G15" s="41">
        <v>4.8</v>
      </c>
      <c r="J15" s="104" t="s">
        <v>61</v>
      </c>
      <c r="K15" s="103"/>
    </row>
    <row r="16" spans="1:15" ht="17.25" thickBot="1" x14ac:dyDescent="0.35">
      <c r="B16" s="40" t="s">
        <v>32</v>
      </c>
      <c r="C16" s="3">
        <v>2.5200038917324781</v>
      </c>
      <c r="J16" s="42" t="s">
        <v>77</v>
      </c>
      <c r="K16" s="36">
        <f>C19*C33*G18*(1-G19)</f>
        <v>388.06673930539711</v>
      </c>
      <c r="N16" s="114" t="s">
        <v>93</v>
      </c>
      <c r="O16" s="115"/>
    </row>
    <row r="17" spans="2:21" ht="16.5" thickTop="1" thickBot="1" x14ac:dyDescent="0.35">
      <c r="B17" s="40" t="s">
        <v>40</v>
      </c>
      <c r="C17" s="3">
        <v>40.410062406710097</v>
      </c>
      <c r="F17" s="4" t="s">
        <v>29</v>
      </c>
      <c r="G17" s="5"/>
      <c r="J17" s="43" t="s">
        <v>78</v>
      </c>
      <c r="K17" s="7">
        <f>SUM(K32,K38,K44,K50,K56,K62,K69,K75,K81)</f>
        <v>3630.6282134273029</v>
      </c>
      <c r="N17" s="108">
        <f>O8+O10+O12+O14</f>
        <v>10900.713040400948</v>
      </c>
      <c r="O17" s="108"/>
    </row>
    <row r="18" spans="2:21" ht="15.75" thickBot="1" x14ac:dyDescent="0.35">
      <c r="B18" s="40" t="s">
        <v>31</v>
      </c>
      <c r="C18" s="3">
        <v>137.70021265538182</v>
      </c>
      <c r="F18" s="2" t="s">
        <v>1</v>
      </c>
      <c r="G18" s="8">
        <v>0.34</v>
      </c>
      <c r="J18" s="22"/>
      <c r="K18" s="22"/>
      <c r="N18" s="109"/>
      <c r="O18" s="109"/>
    </row>
    <row r="19" spans="2:21" ht="15.75" thickBot="1" x14ac:dyDescent="0.35">
      <c r="B19" s="39" t="s">
        <v>41</v>
      </c>
      <c r="C19" s="11">
        <v>17.820027520108237</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0.84942131179182612</v>
      </c>
      <c r="F22" s="40" t="s">
        <v>43</v>
      </c>
      <c r="G22" s="8">
        <v>0.39</v>
      </c>
      <c r="J22" s="22"/>
      <c r="K22" s="22"/>
      <c r="N22" s="40" t="s">
        <v>84</v>
      </c>
      <c r="O22" s="48">
        <f>SUM(K9:K13)*G40*G41/N17</f>
        <v>1.8120658949341152E-2</v>
      </c>
      <c r="P22" s="17"/>
      <c r="Q22" s="17"/>
      <c r="R22" s="17"/>
      <c r="S22" s="29"/>
      <c r="T22" s="29"/>
      <c r="U22" s="13"/>
    </row>
    <row r="23" spans="2:21" ht="16.5" x14ac:dyDescent="0.35">
      <c r="B23" s="75" t="s">
        <v>34</v>
      </c>
      <c r="C23" s="52">
        <v>24.787658280470559</v>
      </c>
      <c r="F23" s="40" t="s">
        <v>3</v>
      </c>
      <c r="G23" s="12">
        <v>5.3999999999999999E-2</v>
      </c>
      <c r="J23" s="22"/>
      <c r="K23" s="22"/>
      <c r="N23" s="40" t="s">
        <v>85</v>
      </c>
      <c r="O23" s="49">
        <f>K16*G40*G41/N17</f>
        <v>9.0246315125730326E-3</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4.5075011742171301E-4</v>
      </c>
      <c r="P25" s="17"/>
      <c r="Q25" s="17"/>
      <c r="R25" s="17"/>
      <c r="S25" s="27"/>
      <c r="T25" s="27"/>
      <c r="U25" s="14"/>
    </row>
    <row r="26" spans="2:21" ht="16.5" x14ac:dyDescent="0.35">
      <c r="B26" s="75" t="s">
        <v>36</v>
      </c>
      <c r="C26" s="52">
        <v>0</v>
      </c>
      <c r="F26" s="2"/>
      <c r="G26" s="3"/>
      <c r="J26" s="107" t="s">
        <v>73</v>
      </c>
      <c r="K26" s="107"/>
      <c r="N26" s="40" t="s">
        <v>34</v>
      </c>
      <c r="O26" s="8">
        <f>K38*G40*G41/N17</f>
        <v>2.1839798566724581E-2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36.293456049287109</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93.436344297100874</v>
      </c>
      <c r="N29" s="40" t="s">
        <v>36</v>
      </c>
      <c r="O29" s="8">
        <f>K56*G40*G41/N17</f>
        <v>0</v>
      </c>
      <c r="P29" s="17"/>
      <c r="Q29" s="17"/>
      <c r="R29" s="17"/>
      <c r="S29" s="27"/>
      <c r="T29" s="27"/>
      <c r="U29" s="14"/>
    </row>
    <row r="30" spans="2:21" ht="17.25" thickBot="1" x14ac:dyDescent="0.35">
      <c r="B30" s="39" t="s">
        <v>39</v>
      </c>
      <c r="C30" s="55">
        <v>15.289583612252869</v>
      </c>
      <c r="F30" s="42" t="s">
        <v>199</v>
      </c>
      <c r="G30" s="99">
        <v>1.8E-3</v>
      </c>
      <c r="J30" s="2" t="s">
        <v>7</v>
      </c>
      <c r="K30" s="3">
        <f>C46*G27*C22</f>
        <v>74.053710439344954</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19.38263385775592</v>
      </c>
      <c r="M31" s="17"/>
      <c r="N31" s="40" t="s">
        <v>87</v>
      </c>
      <c r="O31" s="8">
        <f>K69*G40*G41/N17</f>
        <v>5.4376050570591875E-2</v>
      </c>
      <c r="P31" s="17"/>
      <c r="Q31" s="17"/>
      <c r="R31" s="17"/>
      <c r="S31" s="27"/>
      <c r="T31" s="27"/>
      <c r="U31" s="14"/>
    </row>
    <row r="32" spans="2:21" ht="17.25" thickBot="1" x14ac:dyDescent="0.35">
      <c r="B32" s="4" t="s">
        <v>72</v>
      </c>
      <c r="C32" s="5"/>
      <c r="F32" s="40" t="s">
        <v>201</v>
      </c>
      <c r="G32" s="99">
        <v>1.6585714285714283E-2</v>
      </c>
      <c r="J32" s="6" t="s">
        <v>11</v>
      </c>
      <c r="K32" s="11">
        <f>K31</f>
        <v>19.38263385775592</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7.7649648725538799E-3</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3767.7240586315252</v>
      </c>
      <c r="N35" s="42" t="s">
        <v>89</v>
      </c>
      <c r="O35" s="8">
        <f>O10/N17</f>
        <v>1.023042252198731E-2</v>
      </c>
      <c r="P35" s="17"/>
      <c r="Q35" s="17"/>
      <c r="R35" s="17"/>
      <c r="S35" s="17"/>
      <c r="T35" s="17"/>
    </row>
    <row r="36" spans="2:20" ht="17.25" thickBot="1" x14ac:dyDescent="0.35">
      <c r="B36" s="75" t="s">
        <v>34</v>
      </c>
      <c r="C36" s="52">
        <v>152</v>
      </c>
      <c r="J36" s="2" t="s">
        <v>7</v>
      </c>
      <c r="K36" s="3">
        <f>C47*G28*C23</f>
        <v>2828.5943661817241</v>
      </c>
      <c r="N36" s="42" t="s">
        <v>90</v>
      </c>
      <c r="O36" s="8">
        <f>O12/N17</f>
        <v>0</v>
      </c>
      <c r="P36" s="17"/>
      <c r="Q36" s="17"/>
      <c r="R36" s="17"/>
      <c r="S36" s="17"/>
      <c r="T36" s="17"/>
    </row>
    <row r="37" spans="2:20" ht="16.5" x14ac:dyDescent="0.3">
      <c r="B37" s="75" t="s">
        <v>35</v>
      </c>
      <c r="C37" s="52">
        <v>152</v>
      </c>
      <c r="F37" s="4" t="s">
        <v>30</v>
      </c>
      <c r="G37" s="15"/>
      <c r="H37" s="35"/>
      <c r="J37" s="2" t="s">
        <v>8</v>
      </c>
      <c r="K37" s="36">
        <f>K35-K36</f>
        <v>939.12969244980104</v>
      </c>
      <c r="N37" s="42" t="s">
        <v>91</v>
      </c>
      <c r="O37" s="8">
        <f>O14/N17</f>
        <v>0.87819272288880645</v>
      </c>
      <c r="P37" s="17"/>
      <c r="Q37" s="17"/>
      <c r="R37" s="17"/>
      <c r="S37" s="17"/>
      <c r="T37" s="17"/>
    </row>
    <row r="38" spans="2:20" ht="18" thickBot="1" x14ac:dyDescent="0.4">
      <c r="B38" s="40" t="s">
        <v>54</v>
      </c>
      <c r="C38" s="56">
        <v>121</v>
      </c>
      <c r="F38" s="40" t="s">
        <v>68</v>
      </c>
      <c r="G38" s="8">
        <v>0.6</v>
      </c>
      <c r="H38" s="33"/>
      <c r="J38" s="6" t="s">
        <v>11</v>
      </c>
      <c r="K38" s="11">
        <f>K37</f>
        <v>939.12969244980104</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4501.3774834437081</v>
      </c>
      <c r="H46" s="34"/>
      <c r="J46" s="104" t="s">
        <v>23</v>
      </c>
      <c r="K46" s="103"/>
      <c r="N46" s="17"/>
      <c r="O46" s="17"/>
      <c r="P46" s="17"/>
      <c r="Q46" s="17"/>
      <c r="R46" s="17"/>
      <c r="S46" s="17"/>
      <c r="T46" s="17"/>
    </row>
    <row r="47" spans="2:20" ht="16.5" x14ac:dyDescent="0.3">
      <c r="B47" s="75" t="s">
        <v>34</v>
      </c>
      <c r="C47" s="52">
        <v>8059.4384105960262</v>
      </c>
      <c r="H47" s="34"/>
      <c r="J47" s="40" t="s">
        <v>75</v>
      </c>
      <c r="K47" s="3">
        <f>C25*C38</f>
        <v>0</v>
      </c>
      <c r="N47" s="17"/>
      <c r="O47" s="17"/>
      <c r="P47" s="17"/>
      <c r="Q47" s="17"/>
      <c r="R47" s="17"/>
      <c r="S47" s="17"/>
      <c r="T47" s="17"/>
    </row>
    <row r="48" spans="2:20" ht="16.5" x14ac:dyDescent="0.3">
      <c r="B48" s="75" t="s">
        <v>35</v>
      </c>
      <c r="C48" s="52"/>
      <c r="D48"/>
      <c r="E48"/>
      <c r="H48" s="34"/>
      <c r="J48" s="2" t="s">
        <v>7</v>
      </c>
      <c r="K48" s="3">
        <f>C49*G30*C25</f>
        <v>0</v>
      </c>
      <c r="M48"/>
      <c r="N48" s="17"/>
      <c r="O48" s="17"/>
      <c r="P48" s="17"/>
      <c r="Q48" s="17"/>
      <c r="R48" s="17"/>
      <c r="S48" s="17"/>
      <c r="T48" s="17"/>
    </row>
    <row r="49" spans="2:20" ht="16.5" x14ac:dyDescent="0.3">
      <c r="B49" s="40" t="s">
        <v>54</v>
      </c>
      <c r="C49" s="52">
        <v>563.79304635761582</v>
      </c>
      <c r="E49"/>
      <c r="H49" s="34"/>
      <c r="J49" s="2" t="s">
        <v>8</v>
      </c>
      <c r="K49" s="3">
        <f>K47-K48</f>
        <v>0</v>
      </c>
      <c r="M49"/>
      <c r="N49" s="17"/>
      <c r="O49" s="17"/>
      <c r="P49" s="17"/>
      <c r="Q49" s="17"/>
      <c r="R49" s="17"/>
      <c r="S49" s="17"/>
      <c r="T49" s="17"/>
    </row>
    <row r="50" spans="2:20" ht="17.25" thickBot="1" x14ac:dyDescent="0.35">
      <c r="B50" s="75" t="s">
        <v>36</v>
      </c>
      <c r="C50" s="52">
        <v>5508.2308420056752</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2296.6440397350993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4109.0761589403974</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7258.6912098574221</v>
      </c>
      <c r="N66" s="17"/>
      <c r="O66" s="17"/>
      <c r="P66" s="30"/>
      <c r="Q66" s="30"/>
      <c r="R66" s="17"/>
      <c r="S66" s="17"/>
      <c r="T66" s="17"/>
    </row>
    <row r="67" spans="4:20" ht="16.5" x14ac:dyDescent="0.3">
      <c r="F67" s="20"/>
      <c r="G67" s="31"/>
      <c r="H67" s="20"/>
      <c r="J67" s="2" t="s">
        <v>7</v>
      </c>
      <c r="K67" s="3">
        <f>C52*G33*C28</f>
        <v>4920.47533790337</v>
      </c>
      <c r="N67" s="17"/>
      <c r="O67" s="17"/>
      <c r="P67" s="30"/>
      <c r="Q67" s="30"/>
      <c r="R67" s="17"/>
      <c r="S67" s="17"/>
      <c r="T67" s="17"/>
    </row>
    <row r="68" spans="4:20" ht="16.5" x14ac:dyDescent="0.3">
      <c r="F68" s="26"/>
      <c r="G68" s="22"/>
      <c r="H68" s="26"/>
      <c r="J68" s="2" t="s">
        <v>8</v>
      </c>
      <c r="K68" s="3">
        <f>(K65+K66)-K67</f>
        <v>2338.2158719540521</v>
      </c>
      <c r="N68" s="17"/>
      <c r="O68" s="17"/>
      <c r="P68" s="30"/>
      <c r="Q68" s="30"/>
      <c r="R68" s="17"/>
      <c r="S68" s="17"/>
      <c r="T68" s="17"/>
    </row>
    <row r="69" spans="4:20" ht="17.25" thickBot="1" x14ac:dyDescent="0.35">
      <c r="F69" s="26"/>
      <c r="G69" s="22"/>
      <c r="H69" s="26"/>
      <c r="J69" s="6" t="s">
        <v>11</v>
      </c>
      <c r="K69" s="11">
        <f>K68</f>
        <v>2338.2158719540521</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1513.6687776130341</v>
      </c>
      <c r="N78" s="17"/>
      <c r="O78" s="17"/>
      <c r="P78" s="17"/>
      <c r="Q78" s="17"/>
      <c r="R78" s="17"/>
      <c r="S78" s="17"/>
      <c r="T78" s="17"/>
    </row>
    <row r="79" spans="4:20" ht="16.5" x14ac:dyDescent="0.3">
      <c r="J79" s="19" t="s">
        <v>14</v>
      </c>
      <c r="K79" s="3">
        <f>C54*G35*C30</f>
        <v>1179.7687624473404</v>
      </c>
      <c r="N79" s="17"/>
      <c r="O79" s="17"/>
      <c r="P79" s="17"/>
      <c r="Q79" s="17"/>
      <c r="R79" s="17"/>
      <c r="S79" s="17"/>
      <c r="T79" s="17"/>
    </row>
    <row r="80" spans="4:20" ht="16.5" x14ac:dyDescent="0.3">
      <c r="J80" s="19" t="s">
        <v>15</v>
      </c>
      <c r="K80" s="3">
        <f>K78-K79</f>
        <v>333.90001516569373</v>
      </c>
      <c r="N80" s="17"/>
      <c r="O80" s="17"/>
      <c r="P80" s="17"/>
      <c r="Q80" s="17"/>
      <c r="R80" s="17"/>
      <c r="S80" s="17"/>
      <c r="T80" s="17"/>
    </row>
    <row r="81" spans="10:20" ht="17.25" thickBot="1" x14ac:dyDescent="0.35">
      <c r="J81" s="21" t="s">
        <v>16</v>
      </c>
      <c r="K81" s="11">
        <f>K78-K79</f>
        <v>333.90001516569373</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110</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52302.179233942574</v>
      </c>
    </row>
    <row r="9" spans="1:15" ht="16.5" x14ac:dyDescent="0.3">
      <c r="B9" s="40" t="s">
        <v>57</v>
      </c>
      <c r="C9" s="58">
        <v>6.2</v>
      </c>
      <c r="F9" s="40" t="s">
        <v>47</v>
      </c>
      <c r="G9" s="8">
        <v>0.35</v>
      </c>
      <c r="J9" s="40" t="s">
        <v>62</v>
      </c>
      <c r="K9" s="3">
        <f>SUM(C22:C30)*C9*G11</f>
        <v>8263.6128430276422</v>
      </c>
    </row>
    <row r="10" spans="1:15" ht="16.5" x14ac:dyDescent="0.3">
      <c r="A10" s="32" t="s">
        <v>24</v>
      </c>
      <c r="B10" s="40" t="s">
        <v>80</v>
      </c>
      <c r="C10" s="52">
        <v>0</v>
      </c>
      <c r="F10" s="40" t="s">
        <v>69</v>
      </c>
      <c r="G10" s="8">
        <v>0.38</v>
      </c>
      <c r="J10" s="40" t="s">
        <v>63</v>
      </c>
      <c r="K10" s="3">
        <f>C16*C9*G10</f>
        <v>368.73812945553101</v>
      </c>
      <c r="N10" s="16" t="s">
        <v>13</v>
      </c>
      <c r="O10" s="16">
        <f>C11*G15*G38*G39*G41</f>
        <v>4141.8937910401874</v>
      </c>
    </row>
    <row r="11" spans="1:15" x14ac:dyDescent="0.3">
      <c r="B11" s="40" t="s">
        <v>163</v>
      </c>
      <c r="C11" s="52">
        <v>3352.3486394717911</v>
      </c>
      <c r="F11" s="40" t="s">
        <v>70</v>
      </c>
      <c r="G11" s="8">
        <v>0.38</v>
      </c>
      <c r="J11" s="40" t="s">
        <v>64</v>
      </c>
      <c r="K11" s="3">
        <f>C17*C9</f>
        <v>3741.953778833557</v>
      </c>
      <c r="N11" s="18"/>
      <c r="O11" s="18"/>
    </row>
    <row r="12" spans="1:15" ht="17.25" thickBot="1" x14ac:dyDescent="0.35">
      <c r="B12" s="40" t="s">
        <v>58</v>
      </c>
      <c r="C12" s="52">
        <v>264000</v>
      </c>
      <c r="F12" s="39" t="s">
        <v>48</v>
      </c>
      <c r="G12" s="10">
        <v>0.38</v>
      </c>
      <c r="J12" s="40" t="s">
        <v>65</v>
      </c>
      <c r="K12" s="3">
        <f>C18*C9*G9</f>
        <v>14722.32263621138</v>
      </c>
      <c r="N12" s="47" t="s">
        <v>81</v>
      </c>
      <c r="O12" s="16">
        <f>C10</f>
        <v>0</v>
      </c>
    </row>
    <row r="13" spans="1:15" ht="15.75" thickBot="1" x14ac:dyDescent="0.35">
      <c r="B13" s="39" t="s">
        <v>56</v>
      </c>
      <c r="C13" s="55">
        <v>10228.778521245882</v>
      </c>
      <c r="J13" s="39" t="s">
        <v>66</v>
      </c>
      <c r="K13" s="11">
        <f>C19*C9*G12</f>
        <v>463.52015583081698</v>
      </c>
      <c r="N13" s="18"/>
      <c r="O13" s="18"/>
    </row>
    <row r="14" spans="1:15" ht="17.25" thickBot="1" x14ac:dyDescent="0.35">
      <c r="C14" s="54"/>
      <c r="F14" s="4" t="s">
        <v>59</v>
      </c>
      <c r="G14" s="5"/>
      <c r="J14" s="106"/>
      <c r="K14" s="106"/>
      <c r="N14" s="47" t="s">
        <v>82</v>
      </c>
      <c r="O14" s="16">
        <f>C9*C13</f>
        <v>63418.426831724471</v>
      </c>
    </row>
    <row r="15" spans="1:15" ht="17.25" thickBot="1" x14ac:dyDescent="0.35">
      <c r="B15" s="4" t="s">
        <v>51</v>
      </c>
      <c r="C15" s="5"/>
      <c r="F15" s="39" t="s">
        <v>71</v>
      </c>
      <c r="G15" s="41">
        <v>4.8</v>
      </c>
      <c r="J15" s="104" t="s">
        <v>61</v>
      </c>
      <c r="K15" s="103"/>
    </row>
    <row r="16" spans="1:15" ht="17.25" thickBot="1" x14ac:dyDescent="0.35">
      <c r="B16" s="40" t="s">
        <v>32</v>
      </c>
      <c r="C16" s="3">
        <v>156.51024170438498</v>
      </c>
      <c r="J16" s="42" t="s">
        <v>77</v>
      </c>
      <c r="K16" s="36">
        <f>C19*C33*G18*(1-G19)</f>
        <v>4284.4135965737278</v>
      </c>
      <c r="N16" s="114" t="s">
        <v>93</v>
      </c>
      <c r="O16" s="115"/>
    </row>
    <row r="17" spans="2:21" ht="16.5" thickTop="1" thickBot="1" x14ac:dyDescent="0.35">
      <c r="B17" s="40" t="s">
        <v>40</v>
      </c>
      <c r="C17" s="3">
        <v>603.54093206992854</v>
      </c>
      <c r="F17" s="4" t="s">
        <v>29</v>
      </c>
      <c r="G17" s="5"/>
      <c r="J17" s="43" t="s">
        <v>78</v>
      </c>
      <c r="K17" s="7">
        <f>SUM(K32,K38,K44,K50,K56,K62,K69,K75,K81)</f>
        <v>174475.67252453507</v>
      </c>
      <c r="N17" s="108">
        <f>O8+O10+O12+O14</f>
        <v>119862.49985670723</v>
      </c>
      <c r="O17" s="108"/>
    </row>
    <row r="18" spans="2:21" ht="15.75" thickBot="1" x14ac:dyDescent="0.35">
      <c r="B18" s="40" t="s">
        <v>31</v>
      </c>
      <c r="C18" s="3">
        <v>6784.4804775167649</v>
      </c>
      <c r="F18" s="2" t="s">
        <v>1</v>
      </c>
      <c r="G18" s="8">
        <v>0.34</v>
      </c>
      <c r="J18" s="22"/>
      <c r="K18" s="22"/>
      <c r="N18" s="109"/>
      <c r="O18" s="109"/>
    </row>
    <row r="19" spans="2:21" ht="15.75" thickBot="1" x14ac:dyDescent="0.35">
      <c r="B19" s="39" t="s">
        <v>41</v>
      </c>
      <c r="C19" s="11">
        <v>196.74030383311418</v>
      </c>
      <c r="F19" s="6" t="s">
        <v>2</v>
      </c>
      <c r="G19" s="10">
        <v>0.39</v>
      </c>
      <c r="J19" s="110" t="s">
        <v>67</v>
      </c>
      <c r="K19" s="111"/>
    </row>
    <row r="20" spans="2:21" ht="17.25" thickBot="1" x14ac:dyDescent="0.35">
      <c r="C20" s="54"/>
      <c r="J20" s="2" t="s">
        <v>9</v>
      </c>
      <c r="K20" s="3">
        <f>C12*G23*(1-G24)</f>
        <v>7128</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103.61333501379299</v>
      </c>
      <c r="F22" s="40" t="s">
        <v>43</v>
      </c>
      <c r="G22" s="8">
        <v>0.39</v>
      </c>
      <c r="J22" s="22"/>
      <c r="K22" s="22"/>
      <c r="N22" s="40" t="s">
        <v>84</v>
      </c>
      <c r="O22" s="48">
        <f>SUM(K9:K13)*G40*G41/N17</f>
        <v>5.8287599629522825E-2</v>
      </c>
      <c r="P22" s="17"/>
      <c r="Q22" s="17"/>
      <c r="R22" s="17"/>
      <c r="S22" s="29"/>
      <c r="T22" s="29"/>
      <c r="U22" s="13"/>
    </row>
    <row r="23" spans="2:21" ht="16.5" x14ac:dyDescent="0.35">
      <c r="B23" s="75" t="s">
        <v>34</v>
      </c>
      <c r="C23" s="52">
        <v>587.19824546681468</v>
      </c>
      <c r="F23" s="40" t="s">
        <v>3</v>
      </c>
      <c r="G23" s="12">
        <v>5.3999999999999999E-2</v>
      </c>
      <c r="J23" s="22"/>
      <c r="K23" s="22"/>
      <c r="N23" s="40" t="s">
        <v>85</v>
      </c>
      <c r="O23" s="49">
        <f>K16*G40*G41/N17</f>
        <v>9.0612063658762777E-3</v>
      </c>
      <c r="P23" s="46"/>
      <c r="Q23" s="46"/>
      <c r="R23" s="46"/>
      <c r="S23" s="29"/>
      <c r="T23" s="27"/>
      <c r="U23" s="14"/>
    </row>
    <row r="24" spans="2:21" x14ac:dyDescent="0.3">
      <c r="B24" s="75" t="s">
        <v>35</v>
      </c>
      <c r="C24" s="56">
        <v>0</v>
      </c>
      <c r="F24" s="2" t="s">
        <v>4</v>
      </c>
      <c r="G24" s="8">
        <v>0.5</v>
      </c>
      <c r="J24" s="22"/>
      <c r="K24" s="22"/>
      <c r="N24" s="40" t="s">
        <v>86</v>
      </c>
      <c r="O24" s="8"/>
      <c r="P24" s="17"/>
      <c r="Q24" s="17"/>
      <c r="R24" s="17"/>
      <c r="S24" s="27"/>
      <c r="T24" s="27"/>
      <c r="U24" s="14"/>
    </row>
    <row r="25" spans="2:21" ht="16.5" x14ac:dyDescent="0.3">
      <c r="B25" s="40" t="s">
        <v>54</v>
      </c>
      <c r="C25" s="52">
        <v>86.344445844827504</v>
      </c>
      <c r="F25" s="40" t="s">
        <v>74</v>
      </c>
      <c r="G25" s="3">
        <v>200</v>
      </c>
      <c r="N25" s="40" t="s">
        <v>33</v>
      </c>
      <c r="O25" s="8">
        <f>K32*G40*G41/N17</f>
        <v>4.9480166185604246E-3</v>
      </c>
      <c r="P25" s="17"/>
      <c r="Q25" s="17"/>
      <c r="R25" s="17"/>
      <c r="S25" s="27"/>
      <c r="T25" s="27"/>
      <c r="U25" s="14"/>
    </row>
    <row r="26" spans="2:21" ht="16.5" x14ac:dyDescent="0.35">
      <c r="B26" s="75" t="s">
        <v>36</v>
      </c>
      <c r="C26" s="52">
        <v>0</v>
      </c>
      <c r="F26" s="2"/>
      <c r="G26" s="3"/>
      <c r="J26" s="107" t="s">
        <v>73</v>
      </c>
      <c r="K26" s="107"/>
      <c r="N26" s="40" t="s">
        <v>34</v>
      </c>
      <c r="O26" s="8">
        <f>K38*G40*G41/N17</f>
        <v>4.04656774128241E-2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1767.7669965008436</v>
      </c>
      <c r="F28" s="40" t="s">
        <v>197</v>
      </c>
      <c r="G28" s="99">
        <v>1.4158928571428572E-2</v>
      </c>
      <c r="J28" s="102" t="s">
        <v>19</v>
      </c>
      <c r="K28" s="103"/>
      <c r="N28" s="40" t="s">
        <v>54</v>
      </c>
      <c r="O28" s="8">
        <f>K50*G40*G41/N17</f>
        <v>2.186802684932071E-2</v>
      </c>
      <c r="P28" s="17"/>
      <c r="Q28" s="17"/>
      <c r="R28" s="17"/>
      <c r="S28" s="27"/>
      <c r="T28" s="27"/>
      <c r="U28" s="14"/>
    </row>
    <row r="29" spans="2:21" ht="16.5" x14ac:dyDescent="0.3">
      <c r="B29" s="40" t="s">
        <v>53</v>
      </c>
      <c r="C29" s="52">
        <v>54.247583776491112</v>
      </c>
      <c r="F29" s="40" t="s">
        <v>198</v>
      </c>
      <c r="G29" s="99">
        <v>3.8750500000000005E-3</v>
      </c>
      <c r="J29" s="40" t="s">
        <v>75</v>
      </c>
      <c r="K29" s="3">
        <f>C35*C22</f>
        <v>11397.466851517229</v>
      </c>
      <c r="N29" s="40" t="s">
        <v>36</v>
      </c>
      <c r="O29" s="8">
        <f>K56*G40*G41/N17</f>
        <v>0</v>
      </c>
      <c r="P29" s="17"/>
      <c r="Q29" s="17"/>
      <c r="R29" s="17"/>
      <c r="S29" s="27"/>
      <c r="T29" s="27"/>
      <c r="U29" s="14"/>
    </row>
    <row r="30" spans="2:21" ht="17.25" thickBot="1" x14ac:dyDescent="0.35">
      <c r="B30" s="39" t="s">
        <v>39</v>
      </c>
      <c r="C30" s="55">
        <v>908.30513322220554</v>
      </c>
      <c r="F30" s="42" t="s">
        <v>199</v>
      </c>
      <c r="G30" s="99">
        <v>1.8E-3</v>
      </c>
      <c r="J30" s="2" t="s">
        <v>7</v>
      </c>
      <c r="K30" s="3">
        <f>C46*G27*C22</f>
        <v>9057.8943022739004</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2339.5725492433285</v>
      </c>
      <c r="M31" s="17"/>
      <c r="N31" s="40" t="s">
        <v>87</v>
      </c>
      <c r="O31" s="8">
        <f>K69*G40*G41/N17</f>
        <v>0.24643218500559663</v>
      </c>
      <c r="P31" s="17"/>
      <c r="Q31" s="17"/>
      <c r="R31" s="17"/>
      <c r="S31" s="27"/>
      <c r="T31" s="27"/>
      <c r="U31" s="14"/>
    </row>
    <row r="32" spans="2:21" ht="17.25" thickBot="1" x14ac:dyDescent="0.35">
      <c r="B32" s="4" t="s">
        <v>72</v>
      </c>
      <c r="C32" s="5"/>
      <c r="F32" s="40" t="s">
        <v>201</v>
      </c>
      <c r="G32" s="99">
        <v>1.6585714285714283E-2</v>
      </c>
      <c r="J32" s="6" t="s">
        <v>11</v>
      </c>
      <c r="K32" s="11">
        <f>K31</f>
        <v>2339.5725492433285</v>
      </c>
      <c r="M32" s="17"/>
      <c r="N32" s="40" t="s">
        <v>53</v>
      </c>
      <c r="O32" s="8">
        <f>K75*G40*G41/N17</f>
        <v>1.5460027121989087E-2</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3.9828741204620106E-2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89254.133310955833</v>
      </c>
      <c r="N35" s="42" t="s">
        <v>89</v>
      </c>
      <c r="O35" s="8">
        <f>O10/N17</f>
        <v>3.455537633531524E-2</v>
      </c>
      <c r="P35" s="17"/>
      <c r="Q35" s="17"/>
      <c r="R35" s="17"/>
      <c r="S35" s="17"/>
      <c r="T35" s="17"/>
    </row>
    <row r="36" spans="2:20" ht="17.25" thickBot="1" x14ac:dyDescent="0.35">
      <c r="B36" s="75" t="s">
        <v>34</v>
      </c>
      <c r="C36" s="52">
        <v>152</v>
      </c>
      <c r="J36" s="2" t="s">
        <v>7</v>
      </c>
      <c r="K36" s="3">
        <f>C47*G28*C23</f>
        <v>70120.731918071455</v>
      </c>
      <c r="N36" s="42" t="s">
        <v>90</v>
      </c>
      <c r="O36" s="8">
        <f>O12/N17</f>
        <v>0</v>
      </c>
      <c r="P36" s="17"/>
      <c r="Q36" s="17"/>
      <c r="R36" s="17"/>
      <c r="S36" s="17"/>
      <c r="T36" s="17"/>
    </row>
    <row r="37" spans="2:20" ht="16.5" x14ac:dyDescent="0.3">
      <c r="B37" s="75" t="s">
        <v>35</v>
      </c>
      <c r="C37" s="52">
        <v>152</v>
      </c>
      <c r="F37" s="4" t="s">
        <v>30</v>
      </c>
      <c r="G37" s="15"/>
      <c r="H37" s="35"/>
      <c r="J37" s="2" t="s">
        <v>8</v>
      </c>
      <c r="K37" s="36">
        <f>K35-K36</f>
        <v>19133.401392884378</v>
      </c>
      <c r="N37" s="42" t="s">
        <v>91</v>
      </c>
      <c r="O37" s="8">
        <f>O14/N17</f>
        <v>0.52909314345637448</v>
      </c>
      <c r="P37" s="17"/>
      <c r="Q37" s="17"/>
      <c r="R37" s="17"/>
      <c r="S37" s="17"/>
      <c r="T37" s="17"/>
    </row>
    <row r="38" spans="2:20" ht="18" thickBot="1" x14ac:dyDescent="0.4">
      <c r="B38" s="40" t="s">
        <v>54</v>
      </c>
      <c r="C38" s="56">
        <v>121</v>
      </c>
      <c r="F38" s="40" t="s">
        <v>68</v>
      </c>
      <c r="G38" s="8">
        <v>0.6</v>
      </c>
      <c r="H38" s="33"/>
      <c r="J38" s="6" t="s">
        <v>11</v>
      </c>
      <c r="K38" s="11">
        <f>K37</f>
        <v>19133.401392884378</v>
      </c>
      <c r="N38" s="50" t="s">
        <v>92</v>
      </c>
      <c r="O38" s="51">
        <f>SUM(O22:O37)</f>
        <v>0.99999999999999978</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4513.7069536423842</v>
      </c>
      <c r="H46" s="34"/>
      <c r="J46" s="104" t="s">
        <v>23</v>
      </c>
      <c r="K46" s="103"/>
      <c r="N46" s="17"/>
      <c r="O46" s="17"/>
      <c r="P46" s="17"/>
      <c r="Q46" s="17"/>
      <c r="R46" s="17"/>
      <c r="S46" s="17"/>
      <c r="T46" s="17"/>
    </row>
    <row r="47" spans="2:20" ht="16.5" x14ac:dyDescent="0.3">
      <c r="B47" s="75" t="s">
        <v>34</v>
      </c>
      <c r="C47" s="52">
        <v>8433.9554083885214</v>
      </c>
      <c r="H47" s="34"/>
      <c r="J47" s="40" t="s">
        <v>75</v>
      </c>
      <c r="K47" s="3">
        <f>C25*C38</f>
        <v>10447.677947224129</v>
      </c>
      <c r="N47" s="17"/>
      <c r="O47" s="17"/>
      <c r="P47" s="17"/>
      <c r="Q47" s="17"/>
      <c r="R47" s="17"/>
      <c r="S47" s="17"/>
      <c r="T47" s="17"/>
    </row>
    <row r="48" spans="2:20" ht="16.5" x14ac:dyDescent="0.3">
      <c r="B48" s="75" t="s">
        <v>35</v>
      </c>
      <c r="C48" s="52"/>
      <c r="D48"/>
      <c r="E48"/>
      <c r="H48" s="34"/>
      <c r="J48" s="2" t="s">
        <v>7</v>
      </c>
      <c r="K48" s="3">
        <f>C49*G30*C25</f>
        <v>107.81062930234171</v>
      </c>
      <c r="M48"/>
      <c r="N48" s="17"/>
      <c r="O48" s="17"/>
      <c r="P48" s="17"/>
      <c r="Q48" s="17"/>
      <c r="R48" s="17"/>
      <c r="S48" s="17"/>
      <c r="T48" s="17"/>
    </row>
    <row r="49" spans="2:20" ht="16.5" x14ac:dyDescent="0.3">
      <c r="B49" s="40" t="s">
        <v>54</v>
      </c>
      <c r="C49" s="52">
        <v>693.67280629139066</v>
      </c>
      <c r="E49"/>
      <c r="H49" s="34"/>
      <c r="J49" s="2" t="s">
        <v>8</v>
      </c>
      <c r="K49" s="3">
        <f>K47-K48</f>
        <v>10339.867317921788</v>
      </c>
      <c r="M49"/>
      <c r="N49" s="17"/>
      <c r="O49" s="17"/>
      <c r="P49" s="17"/>
      <c r="Q49" s="17"/>
      <c r="R49" s="17"/>
      <c r="S49" s="17"/>
      <c r="T49" s="17"/>
    </row>
    <row r="50" spans="2:20" ht="17.25" thickBot="1" x14ac:dyDescent="0.35">
      <c r="B50" s="75" t="s">
        <v>36</v>
      </c>
      <c r="C50" s="52">
        <v>5508.2308420056752</v>
      </c>
      <c r="D50"/>
      <c r="E50"/>
      <c r="H50" s="34"/>
      <c r="J50" s="6" t="s">
        <v>11</v>
      </c>
      <c r="K50" s="11">
        <f>K49</f>
        <v>10339.867317921788</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2271.4246688741723</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4167.9213576158945</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353553.39930016873</v>
      </c>
      <c r="N66" s="17"/>
      <c r="O66" s="17"/>
      <c r="P66" s="30"/>
      <c r="Q66" s="30"/>
      <c r="R66" s="17"/>
      <c r="S66" s="17"/>
      <c r="T66" s="17"/>
    </row>
    <row r="67" spans="4:20" ht="16.5" x14ac:dyDescent="0.3">
      <c r="F67" s="20"/>
      <c r="G67" s="31"/>
      <c r="H67" s="20"/>
      <c r="J67" s="2" t="s">
        <v>7</v>
      </c>
      <c r="K67" s="3">
        <f>C52*G33*C28</f>
        <v>237032.77705195817</v>
      </c>
      <c r="N67" s="17"/>
      <c r="O67" s="17"/>
      <c r="P67" s="30"/>
      <c r="Q67" s="30"/>
      <c r="R67" s="17"/>
      <c r="S67" s="17"/>
      <c r="T67" s="17"/>
    </row>
    <row r="68" spans="4:20" ht="16.5" x14ac:dyDescent="0.3">
      <c r="F68" s="26"/>
      <c r="G68" s="22"/>
      <c r="H68" s="26"/>
      <c r="J68" s="2" t="s">
        <v>8</v>
      </c>
      <c r="K68" s="3">
        <f>(K65+K66)-K67</f>
        <v>116520.62224821057</v>
      </c>
      <c r="N68" s="17"/>
      <c r="O68" s="17"/>
      <c r="P68" s="30"/>
      <c r="Q68" s="30"/>
      <c r="R68" s="17"/>
      <c r="S68" s="17"/>
      <c r="T68" s="17"/>
    </row>
    <row r="69" spans="4:20" ht="17.25" thickBot="1" x14ac:dyDescent="0.35">
      <c r="F69" s="26"/>
      <c r="G69" s="22"/>
      <c r="H69" s="26"/>
      <c r="J69" s="6" t="s">
        <v>11</v>
      </c>
      <c r="K69" s="11">
        <f>K68</f>
        <v>116520.62224821057</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10958.011922851205</v>
      </c>
      <c r="N72" s="17"/>
      <c r="O72" s="17"/>
      <c r="P72" s="17"/>
      <c r="Q72" s="17"/>
      <c r="R72" s="17"/>
      <c r="S72" s="17"/>
      <c r="T72" s="17"/>
    </row>
    <row r="73" spans="4:20" ht="16.5" x14ac:dyDescent="0.3">
      <c r="J73" s="19" t="s">
        <v>14</v>
      </c>
      <c r="K73" s="3">
        <f>C53*G34*C29</f>
        <v>3648.0415138014746</v>
      </c>
      <c r="N73" s="17"/>
      <c r="O73" s="17"/>
      <c r="P73" s="17"/>
      <c r="Q73" s="17"/>
      <c r="R73" s="17"/>
      <c r="S73" s="17"/>
      <c r="T73" s="17"/>
    </row>
    <row r="74" spans="4:20" ht="16.5" x14ac:dyDescent="0.3">
      <c r="J74" s="19" t="s">
        <v>15</v>
      </c>
      <c r="K74" s="3">
        <f>K72-K73</f>
        <v>7309.9704090497307</v>
      </c>
      <c r="N74" s="17"/>
      <c r="O74" s="17"/>
      <c r="P74" s="17"/>
      <c r="Q74" s="17"/>
      <c r="R74" s="17"/>
      <c r="S74" s="17"/>
      <c r="T74" s="17"/>
    </row>
    <row r="75" spans="4:20" ht="17.25" thickBot="1" x14ac:dyDescent="0.35">
      <c r="J75" s="21" t="s">
        <v>16</v>
      </c>
      <c r="K75" s="11">
        <f>K74</f>
        <v>7309.9704090497307</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89922.208188998353</v>
      </c>
      <c r="N78" s="17"/>
      <c r="O78" s="17"/>
      <c r="P78" s="17"/>
      <c r="Q78" s="17"/>
      <c r="R78" s="17"/>
      <c r="S78" s="17"/>
      <c r="T78" s="17"/>
    </row>
    <row r="79" spans="4:20" ht="16.5" x14ac:dyDescent="0.3">
      <c r="J79" s="19" t="s">
        <v>14</v>
      </c>
      <c r="K79" s="3">
        <f>C54*G35*C30</f>
        <v>71089.969581773083</v>
      </c>
      <c r="N79" s="17"/>
      <c r="O79" s="17"/>
      <c r="P79" s="17"/>
      <c r="Q79" s="17"/>
      <c r="R79" s="17"/>
      <c r="S79" s="17"/>
      <c r="T79" s="17"/>
    </row>
    <row r="80" spans="4:20" ht="16.5" x14ac:dyDescent="0.3">
      <c r="J80" s="19" t="s">
        <v>15</v>
      </c>
      <c r="K80" s="3">
        <f>K78-K79</f>
        <v>18832.23860722527</v>
      </c>
      <c r="N80" s="17"/>
      <c r="O80" s="17"/>
      <c r="P80" s="17"/>
      <c r="Q80" s="17"/>
      <c r="R80" s="17"/>
      <c r="S80" s="17"/>
      <c r="T80" s="17"/>
    </row>
    <row r="81" spans="10:20" ht="17.25" thickBot="1" x14ac:dyDescent="0.35">
      <c r="J81" s="21" t="s">
        <v>16</v>
      </c>
      <c r="K81" s="11">
        <f>K78-K79</f>
        <v>18832.23860722527</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111</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29626.251769508177</v>
      </c>
    </row>
    <row r="9" spans="1:15" ht="16.5" x14ac:dyDescent="0.3">
      <c r="B9" s="40" t="s">
        <v>57</v>
      </c>
      <c r="C9" s="58">
        <v>6.2</v>
      </c>
      <c r="F9" s="40" t="s">
        <v>47</v>
      </c>
      <c r="G9" s="8">
        <v>0.35</v>
      </c>
      <c r="J9" s="40" t="s">
        <v>62</v>
      </c>
      <c r="K9" s="3">
        <f>SUM(C22:C30)*C9*G11</f>
        <v>4343.4273599999997</v>
      </c>
    </row>
    <row r="10" spans="1:15" ht="16.5" x14ac:dyDescent="0.3">
      <c r="A10" s="32" t="s">
        <v>24</v>
      </c>
      <c r="B10" s="40" t="s">
        <v>80</v>
      </c>
      <c r="C10" s="52">
        <v>0</v>
      </c>
      <c r="F10" s="40" t="s">
        <v>69</v>
      </c>
      <c r="G10" s="8">
        <v>0.38</v>
      </c>
      <c r="J10" s="40" t="s">
        <v>63</v>
      </c>
      <c r="K10" s="3">
        <f>C16*C9*G10</f>
        <v>115.56180000000001</v>
      </c>
      <c r="N10" s="16" t="s">
        <v>13</v>
      </c>
      <c r="O10" s="16">
        <f>C11*G15*G38*G39*G41</f>
        <v>906.96286899136271</v>
      </c>
    </row>
    <row r="11" spans="1:15" x14ac:dyDescent="0.3">
      <c r="B11" s="40" t="s">
        <v>163</v>
      </c>
      <c r="C11" s="52">
        <v>734.07380616369039</v>
      </c>
      <c r="F11" s="40" t="s">
        <v>70</v>
      </c>
      <c r="G11" s="8">
        <v>0.38</v>
      </c>
      <c r="J11" s="40" t="s">
        <v>64</v>
      </c>
      <c r="K11" s="3">
        <f>C17*C9</f>
        <v>1050.1559999999999</v>
      </c>
      <c r="N11" s="18"/>
      <c r="O11" s="18"/>
    </row>
    <row r="12" spans="1:15" ht="17.25" thickBot="1" x14ac:dyDescent="0.35">
      <c r="B12" s="40" t="s">
        <v>58</v>
      </c>
      <c r="C12" s="52">
        <v>528000</v>
      </c>
      <c r="F12" s="39" t="s">
        <v>48</v>
      </c>
      <c r="G12" s="10">
        <v>0.38</v>
      </c>
      <c r="J12" s="40" t="s">
        <v>65</v>
      </c>
      <c r="K12" s="3">
        <f>C18*C9*G9</f>
        <v>3321.8576999999996</v>
      </c>
      <c r="N12" s="47" t="s">
        <v>81</v>
      </c>
      <c r="O12" s="16">
        <f>C10</f>
        <v>0</v>
      </c>
    </row>
    <row r="13" spans="1:15" ht="15.75" thickBot="1" x14ac:dyDescent="0.35">
      <c r="B13" s="39" t="s">
        <v>56</v>
      </c>
      <c r="C13" s="55">
        <v>2018.4220958237042</v>
      </c>
      <c r="J13" s="39" t="s">
        <v>66</v>
      </c>
      <c r="K13" s="11">
        <f>C19*C9*G12</f>
        <v>85.876199999999997</v>
      </c>
      <c r="N13" s="18"/>
      <c r="O13" s="18"/>
    </row>
    <row r="14" spans="1:15" ht="17.25" thickBot="1" x14ac:dyDescent="0.35">
      <c r="C14" s="54"/>
      <c r="F14" s="4" t="s">
        <v>59</v>
      </c>
      <c r="G14" s="5"/>
      <c r="J14" s="106"/>
      <c r="K14" s="106"/>
      <c r="N14" s="47" t="s">
        <v>82</v>
      </c>
      <c r="O14" s="16">
        <f>C9*C13</f>
        <v>12514.216994106966</v>
      </c>
    </row>
    <row r="15" spans="1:15" ht="17.25" thickBot="1" x14ac:dyDescent="0.35">
      <c r="B15" s="4" t="s">
        <v>51</v>
      </c>
      <c r="C15" s="5"/>
      <c r="F15" s="39" t="s">
        <v>71</v>
      </c>
      <c r="G15" s="41">
        <v>4.8</v>
      </c>
      <c r="J15" s="104" t="s">
        <v>61</v>
      </c>
      <c r="K15" s="103"/>
    </row>
    <row r="16" spans="1:15" ht="17.25" thickBot="1" x14ac:dyDescent="0.35">
      <c r="B16" s="40" t="s">
        <v>32</v>
      </c>
      <c r="C16" s="3">
        <v>49.05</v>
      </c>
      <c r="J16" s="42" t="s">
        <v>77</v>
      </c>
      <c r="K16" s="36">
        <f>C19*C33*G18*(1-G19)</f>
        <v>793.77164999999991</v>
      </c>
      <c r="N16" s="114" t="s">
        <v>93</v>
      </c>
      <c r="O16" s="115"/>
    </row>
    <row r="17" spans="2:21" ht="16.5" thickTop="1" thickBot="1" x14ac:dyDescent="0.35">
      <c r="B17" s="40" t="s">
        <v>40</v>
      </c>
      <c r="C17" s="3">
        <v>169.38</v>
      </c>
      <c r="F17" s="4" t="s">
        <v>29</v>
      </c>
      <c r="G17" s="5"/>
      <c r="J17" s="43" t="s">
        <v>78</v>
      </c>
      <c r="K17" s="7">
        <f>SUM(K32,K38,K44,K50,K56,K62,K69,K75,K81)</f>
        <v>107158.19256222159</v>
      </c>
      <c r="N17" s="108">
        <f>O8+O10+O12+O14</f>
        <v>43047.431632606502</v>
      </c>
      <c r="O17" s="108"/>
    </row>
    <row r="18" spans="2:21" ht="15.75" thickBot="1" x14ac:dyDescent="0.35">
      <c r="B18" s="40" t="s">
        <v>31</v>
      </c>
      <c r="C18" s="3">
        <v>1530.8099999999997</v>
      </c>
      <c r="F18" s="2" t="s">
        <v>1</v>
      </c>
      <c r="G18" s="8">
        <v>0.34</v>
      </c>
      <c r="J18" s="22"/>
      <c r="K18" s="22"/>
      <c r="N18" s="109"/>
      <c r="O18" s="109"/>
    </row>
    <row r="19" spans="2:21" ht="15.75" thickBot="1" x14ac:dyDescent="0.35">
      <c r="B19" s="39" t="s">
        <v>41</v>
      </c>
      <c r="C19" s="11">
        <v>36.449999999999996</v>
      </c>
      <c r="F19" s="6" t="s">
        <v>2</v>
      </c>
      <c r="G19" s="10">
        <v>0.39</v>
      </c>
      <c r="J19" s="110" t="s">
        <v>67</v>
      </c>
      <c r="K19" s="111"/>
    </row>
    <row r="20" spans="2:21" ht="17.25" thickBot="1" x14ac:dyDescent="0.35">
      <c r="C20" s="54"/>
      <c r="J20" s="2" t="s">
        <v>9</v>
      </c>
      <c r="K20" s="3">
        <f>C12*G23*(1-G24)</f>
        <v>14256</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43.334077359248482</v>
      </c>
      <c r="F22" s="40" t="s">
        <v>43</v>
      </c>
      <c r="G22" s="8">
        <v>0.39</v>
      </c>
      <c r="J22" s="22"/>
      <c r="K22" s="22"/>
      <c r="N22" s="40" t="s">
        <v>84</v>
      </c>
      <c r="O22" s="48">
        <f>SUM(K9:K13)*G40*G41/N17</f>
        <v>5.2510190642775234E-2</v>
      </c>
      <c r="P22" s="17"/>
      <c r="Q22" s="17"/>
      <c r="R22" s="17"/>
      <c r="S22" s="29"/>
      <c r="T22" s="29"/>
      <c r="U22" s="13"/>
    </row>
    <row r="23" spans="2:21" ht="16.5" x14ac:dyDescent="0.35">
      <c r="B23" s="75" t="s">
        <v>34</v>
      </c>
      <c r="C23" s="52">
        <v>278.04589911549806</v>
      </c>
      <c r="F23" s="40" t="s">
        <v>3</v>
      </c>
      <c r="G23" s="12">
        <v>5.3999999999999999E-2</v>
      </c>
      <c r="J23" s="22"/>
      <c r="K23" s="22"/>
      <c r="N23" s="40" t="s">
        <v>85</v>
      </c>
      <c r="O23" s="49">
        <f>K16*G40*G41/N17</f>
        <v>4.6744046193590797E-3</v>
      </c>
      <c r="P23" s="46"/>
      <c r="Q23" s="46"/>
      <c r="R23" s="46"/>
      <c r="S23" s="29"/>
      <c r="T23" s="27"/>
      <c r="U23" s="14"/>
    </row>
    <row r="24" spans="2:21" x14ac:dyDescent="0.3">
      <c r="B24" s="75" t="s">
        <v>35</v>
      </c>
      <c r="C24" s="56">
        <v>0</v>
      </c>
      <c r="F24" s="2" t="s">
        <v>4</v>
      </c>
      <c r="G24" s="8">
        <v>0.5</v>
      </c>
      <c r="J24" s="22"/>
      <c r="K24" s="22"/>
      <c r="N24" s="40" t="s">
        <v>86</v>
      </c>
      <c r="O24" s="8"/>
      <c r="P24" s="17"/>
      <c r="Q24" s="17"/>
      <c r="R24" s="17"/>
      <c r="S24" s="27"/>
      <c r="T24" s="27"/>
      <c r="U24" s="14"/>
    </row>
    <row r="25" spans="2:21" ht="16.5" x14ac:dyDescent="0.3">
      <c r="B25" s="40" t="s">
        <v>54</v>
      </c>
      <c r="C25" s="52">
        <v>40.88520233821319</v>
      </c>
      <c r="F25" s="40" t="s">
        <v>74</v>
      </c>
      <c r="G25" s="3">
        <v>200</v>
      </c>
      <c r="N25" s="40" t="s">
        <v>33</v>
      </c>
      <c r="O25" s="8">
        <f>K32*G40*G41/N17</f>
        <v>5.7011673346642963E-3</v>
      </c>
      <c r="P25" s="17"/>
      <c r="Q25" s="17"/>
      <c r="R25" s="17"/>
      <c r="S25" s="27"/>
      <c r="T25" s="27"/>
      <c r="U25" s="14"/>
    </row>
    <row r="26" spans="2:21" ht="16.5" x14ac:dyDescent="0.35">
      <c r="B26" s="75" t="s">
        <v>36</v>
      </c>
      <c r="C26" s="52">
        <v>0</v>
      </c>
      <c r="F26" s="2"/>
      <c r="G26" s="3"/>
      <c r="J26" s="107" t="s">
        <v>73</v>
      </c>
      <c r="K26" s="107"/>
      <c r="N26" s="40" t="s">
        <v>34</v>
      </c>
      <c r="O26" s="8">
        <f>K38*G40*G41/N17</f>
        <v>4.4669897355973806E-2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837.06034165348797</v>
      </c>
      <c r="F28" s="40" t="s">
        <v>197</v>
      </c>
      <c r="G28" s="99">
        <v>1.4158928571428572E-2</v>
      </c>
      <c r="J28" s="102" t="s">
        <v>19</v>
      </c>
      <c r="K28" s="103"/>
      <c r="N28" s="40" t="s">
        <v>54</v>
      </c>
      <c r="O28" s="8">
        <f>K50*G40*G41/N17</f>
        <v>2.8775889244487471E-2</v>
      </c>
      <c r="P28" s="17"/>
      <c r="Q28" s="17"/>
      <c r="R28" s="17"/>
      <c r="S28" s="27"/>
      <c r="T28" s="27"/>
      <c r="U28" s="14"/>
    </row>
    <row r="29" spans="2:21" ht="16.5" x14ac:dyDescent="0.3">
      <c r="B29" s="40" t="s">
        <v>53</v>
      </c>
      <c r="C29" s="52">
        <v>214.1403513789013</v>
      </c>
      <c r="F29" s="40" t="s">
        <v>198</v>
      </c>
      <c r="G29" s="99">
        <v>3.8750500000000005E-3</v>
      </c>
      <c r="J29" s="40" t="s">
        <v>75</v>
      </c>
      <c r="K29" s="3">
        <f>C35*C22</f>
        <v>4766.7485095173333</v>
      </c>
      <c r="N29" s="40" t="s">
        <v>36</v>
      </c>
      <c r="O29" s="8">
        <f>K56*G40*G41/N17</f>
        <v>0</v>
      </c>
      <c r="P29" s="17"/>
      <c r="Q29" s="17"/>
      <c r="R29" s="17"/>
      <c r="S29" s="27"/>
      <c r="T29" s="27"/>
      <c r="U29" s="14"/>
    </row>
    <row r="30" spans="2:21" ht="17.25" thickBot="1" x14ac:dyDescent="0.35">
      <c r="B30" s="39" t="s">
        <v>39</v>
      </c>
      <c r="C30" s="55">
        <v>430.094128154651</v>
      </c>
      <c r="F30" s="42" t="s">
        <v>199</v>
      </c>
      <c r="G30" s="99">
        <v>1.8E-3</v>
      </c>
      <c r="J30" s="2" t="s">
        <v>7</v>
      </c>
      <c r="K30" s="3">
        <f>C46*G27*C22</f>
        <v>3798.6198662628531</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968.12864325448027</v>
      </c>
      <c r="M31" s="17"/>
      <c r="N31" s="40" t="s">
        <v>87</v>
      </c>
      <c r="O31" s="8">
        <f>K69*G40*G41/N17</f>
        <v>0.33225012256808528</v>
      </c>
      <c r="P31" s="17"/>
      <c r="Q31" s="17"/>
      <c r="R31" s="17"/>
      <c r="S31" s="27"/>
      <c r="T31" s="27"/>
      <c r="U31" s="14"/>
    </row>
    <row r="32" spans="2:21" ht="17.25" thickBot="1" x14ac:dyDescent="0.35">
      <c r="B32" s="4" t="s">
        <v>72</v>
      </c>
      <c r="C32" s="5"/>
      <c r="F32" s="40" t="s">
        <v>201</v>
      </c>
      <c r="G32" s="99">
        <v>1.6585714285714283E-2</v>
      </c>
      <c r="J32" s="6" t="s">
        <v>11</v>
      </c>
      <c r="K32" s="11">
        <f>K31</f>
        <v>968.12864325448027</v>
      </c>
      <c r="M32" s="17"/>
      <c r="N32" s="40" t="s">
        <v>53</v>
      </c>
      <c r="O32" s="8">
        <f>K75*G40*G41/N17</f>
        <v>0.16992780572565469</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4.9713969202800468E-2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42262.976665555703</v>
      </c>
      <c r="N35" s="42" t="s">
        <v>89</v>
      </c>
      <c r="O35" s="8">
        <f>O10/N17</f>
        <v>2.106891943593631E-2</v>
      </c>
      <c r="P35" s="17"/>
      <c r="Q35" s="17"/>
      <c r="R35" s="17"/>
      <c r="S35" s="17"/>
      <c r="T35" s="17"/>
    </row>
    <row r="36" spans="2:20" ht="17.25" thickBot="1" x14ac:dyDescent="0.35">
      <c r="B36" s="75" t="s">
        <v>34</v>
      </c>
      <c r="C36" s="52">
        <v>152</v>
      </c>
      <c r="J36" s="2" t="s">
        <v>7</v>
      </c>
      <c r="K36" s="3">
        <f>C47*G28*C23</f>
        <v>34677.476261347292</v>
      </c>
      <c r="N36" s="42" t="s">
        <v>90</v>
      </c>
      <c r="O36" s="8">
        <f>O12/N17</f>
        <v>0</v>
      </c>
      <c r="P36" s="17"/>
      <c r="Q36" s="17"/>
      <c r="R36" s="17"/>
      <c r="S36" s="17"/>
      <c r="T36" s="17"/>
    </row>
    <row r="37" spans="2:20" ht="16.5" x14ac:dyDescent="0.3">
      <c r="B37" s="75" t="s">
        <v>35</v>
      </c>
      <c r="C37" s="52">
        <v>152</v>
      </c>
      <c r="F37" s="4" t="s">
        <v>30</v>
      </c>
      <c r="G37" s="15"/>
      <c r="H37" s="35"/>
      <c r="J37" s="2" t="s">
        <v>8</v>
      </c>
      <c r="K37" s="36">
        <f>K35-K36</f>
        <v>7585.5004042084111</v>
      </c>
      <c r="N37" s="42" t="s">
        <v>91</v>
      </c>
      <c r="O37" s="8">
        <f>O14/N17</f>
        <v>0.29070763387026338</v>
      </c>
      <c r="P37" s="17"/>
      <c r="Q37" s="17"/>
      <c r="R37" s="17"/>
      <c r="S37" s="17"/>
      <c r="T37" s="17"/>
    </row>
    <row r="38" spans="2:20" ht="18" thickBot="1" x14ac:dyDescent="0.4">
      <c r="B38" s="40" t="s">
        <v>54</v>
      </c>
      <c r="C38" s="56">
        <v>121</v>
      </c>
      <c r="F38" s="40" t="s">
        <v>68</v>
      </c>
      <c r="G38" s="8">
        <v>0.6</v>
      </c>
      <c r="H38" s="33"/>
      <c r="J38" s="6" t="s">
        <v>11</v>
      </c>
      <c r="K38" s="11">
        <f>K37</f>
        <v>7585.5004042084111</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4526.0364238410593</v>
      </c>
      <c r="H46" s="34"/>
      <c r="J46" s="104" t="s">
        <v>23</v>
      </c>
      <c r="K46" s="103"/>
      <c r="N46" s="17"/>
      <c r="O46" s="17"/>
      <c r="P46" s="17"/>
      <c r="Q46" s="17"/>
      <c r="R46" s="17"/>
      <c r="S46" s="17"/>
      <c r="T46" s="17"/>
    </row>
    <row r="47" spans="2:20" ht="16.5" x14ac:dyDescent="0.3">
      <c r="B47" s="75" t="s">
        <v>34</v>
      </c>
      <c r="C47" s="52">
        <v>8808.4724061810157</v>
      </c>
      <c r="H47" s="34"/>
      <c r="J47" s="40" t="s">
        <v>75</v>
      </c>
      <c r="K47" s="3">
        <f>C25*C38</f>
        <v>4947.1094829237963</v>
      </c>
      <c r="N47" s="17"/>
      <c r="O47" s="17"/>
      <c r="P47" s="17"/>
      <c r="Q47" s="17"/>
      <c r="R47" s="17"/>
      <c r="S47" s="17"/>
      <c r="T47" s="17"/>
    </row>
    <row r="48" spans="2:20" ht="16.5" x14ac:dyDescent="0.3">
      <c r="B48" s="75" t="s">
        <v>35</v>
      </c>
      <c r="C48" s="52"/>
      <c r="D48"/>
      <c r="E48"/>
      <c r="H48" s="34"/>
      <c r="J48" s="2" t="s">
        <v>7</v>
      </c>
      <c r="K48" s="3">
        <f>C49*G30*C25</f>
        <v>60.608003951287095</v>
      </c>
      <c r="M48"/>
      <c r="N48" s="17"/>
      <c r="O48" s="17"/>
      <c r="P48" s="17"/>
      <c r="Q48" s="17"/>
      <c r="R48" s="17"/>
      <c r="S48" s="17"/>
      <c r="T48" s="17"/>
    </row>
    <row r="49" spans="2:20" ht="16.5" x14ac:dyDescent="0.3">
      <c r="B49" s="40" t="s">
        <v>54</v>
      </c>
      <c r="C49" s="52">
        <v>823.55256622516549</v>
      </c>
      <c r="E49"/>
      <c r="H49" s="34"/>
      <c r="J49" s="2" t="s">
        <v>8</v>
      </c>
      <c r="K49" s="3">
        <f>K47-K48</f>
        <v>4886.5014789725092</v>
      </c>
      <c r="M49"/>
      <c r="N49" s="17"/>
      <c r="O49" s="17"/>
      <c r="P49" s="17"/>
      <c r="Q49" s="17"/>
      <c r="R49" s="17"/>
      <c r="S49" s="17"/>
      <c r="T49" s="17"/>
    </row>
    <row r="50" spans="2:20" ht="17.25" thickBot="1" x14ac:dyDescent="0.35">
      <c r="B50" s="75" t="s">
        <v>36</v>
      </c>
      <c r="C50" s="52"/>
      <c r="D50"/>
      <c r="E50"/>
      <c r="H50" s="34"/>
      <c r="J50" s="6" t="s">
        <v>11</v>
      </c>
      <c r="K50" s="11">
        <f>K49</f>
        <v>4886.5014789725092</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2246.2052980132448</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4226.7665562913908</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167412.0683306976</v>
      </c>
      <c r="N66" s="17"/>
      <c r="O66" s="17"/>
      <c r="P66" s="30"/>
      <c r="Q66" s="30"/>
      <c r="R66" s="17"/>
      <c r="S66" s="17"/>
      <c r="T66" s="17"/>
    </row>
    <row r="67" spans="4:20" ht="16.5" x14ac:dyDescent="0.3">
      <c r="F67" s="20"/>
      <c r="G67" s="31"/>
      <c r="H67" s="20"/>
      <c r="J67" s="2" t="s">
        <v>7</v>
      </c>
      <c r="K67" s="3">
        <f>C52*G33*C28</f>
        <v>110991.8930400673</v>
      </c>
      <c r="N67" s="17"/>
      <c r="O67" s="17"/>
      <c r="P67" s="30"/>
      <c r="Q67" s="30"/>
      <c r="R67" s="17"/>
      <c r="S67" s="17"/>
      <c r="T67" s="17"/>
    </row>
    <row r="68" spans="4:20" ht="16.5" x14ac:dyDescent="0.3">
      <c r="F68" s="26"/>
      <c r="G68" s="22"/>
      <c r="H68" s="26"/>
      <c r="J68" s="2" t="s">
        <v>8</v>
      </c>
      <c r="K68" s="3">
        <f>(K65+K66)-K67</f>
        <v>56420.175290630301</v>
      </c>
      <c r="N68" s="17"/>
      <c r="O68" s="17"/>
      <c r="P68" s="30"/>
      <c r="Q68" s="30"/>
      <c r="R68" s="17"/>
      <c r="S68" s="17"/>
      <c r="T68" s="17"/>
    </row>
    <row r="69" spans="4:20" ht="17.25" thickBot="1" x14ac:dyDescent="0.35">
      <c r="F69" s="26"/>
      <c r="G69" s="22"/>
      <c r="H69" s="26"/>
      <c r="J69" s="6" t="s">
        <v>11</v>
      </c>
      <c r="K69" s="11">
        <f>K68</f>
        <v>56420.175290630301</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43256.350978538059</v>
      </c>
      <c r="N72" s="17"/>
      <c r="O72" s="17"/>
      <c r="P72" s="17"/>
      <c r="Q72" s="17"/>
      <c r="R72" s="17"/>
      <c r="S72" s="17"/>
      <c r="T72" s="17"/>
    </row>
    <row r="73" spans="4:20" ht="16.5" x14ac:dyDescent="0.3">
      <c r="J73" s="19" t="s">
        <v>14</v>
      </c>
      <c r="K73" s="3">
        <f>C53*G34*C29</f>
        <v>14400.510349528357</v>
      </c>
      <c r="N73" s="17"/>
      <c r="O73" s="17"/>
      <c r="P73" s="17"/>
      <c r="Q73" s="17"/>
      <c r="R73" s="17"/>
      <c r="S73" s="17"/>
      <c r="T73" s="17"/>
    </row>
    <row r="74" spans="4:20" ht="16.5" x14ac:dyDescent="0.3">
      <c r="J74" s="19" t="s">
        <v>15</v>
      </c>
      <c r="K74" s="3">
        <f>K72-K73</f>
        <v>28855.840629009705</v>
      </c>
      <c r="N74" s="17"/>
      <c r="O74" s="17"/>
      <c r="P74" s="17"/>
      <c r="Q74" s="17"/>
      <c r="R74" s="17"/>
      <c r="S74" s="17"/>
      <c r="T74" s="17"/>
    </row>
    <row r="75" spans="4:20" ht="17.25" thickBot="1" x14ac:dyDescent="0.35">
      <c r="J75" s="21" t="s">
        <v>16</v>
      </c>
      <c r="K75" s="11">
        <f>K74</f>
        <v>28855.840629009705</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42579.31868731045</v>
      </c>
      <c r="N78" s="17"/>
      <c r="O78" s="17"/>
      <c r="P78" s="17"/>
      <c r="Q78" s="17"/>
      <c r="R78" s="17"/>
      <c r="S78" s="17"/>
      <c r="T78" s="17"/>
    </row>
    <row r="79" spans="4:20" ht="16.5" x14ac:dyDescent="0.3">
      <c r="J79" s="19" t="s">
        <v>14</v>
      </c>
      <c r="K79" s="3">
        <f>C54*G35*C30</f>
        <v>34137.272571164263</v>
      </c>
      <c r="N79" s="17"/>
      <c r="O79" s="17"/>
      <c r="P79" s="17"/>
      <c r="Q79" s="17"/>
      <c r="R79" s="17"/>
      <c r="S79" s="17"/>
      <c r="T79" s="17"/>
    </row>
    <row r="80" spans="4:20" ht="16.5" x14ac:dyDescent="0.3">
      <c r="J80" s="19" t="s">
        <v>15</v>
      </c>
      <c r="K80" s="3">
        <f>K78-K79</f>
        <v>8442.0461161461863</v>
      </c>
      <c r="N80" s="17"/>
      <c r="O80" s="17"/>
      <c r="P80" s="17"/>
      <c r="Q80" s="17"/>
      <c r="R80" s="17"/>
      <c r="S80" s="17"/>
      <c r="T80" s="17"/>
    </row>
    <row r="81" spans="10:20" ht="17.25" thickBot="1" x14ac:dyDescent="0.35">
      <c r="J81" s="21" t="s">
        <v>16</v>
      </c>
      <c r="K81" s="11">
        <f>K78-K79</f>
        <v>8442.0461161461863</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112</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21605.213095102692</v>
      </c>
    </row>
    <row r="9" spans="1:15" ht="16.5" x14ac:dyDescent="0.3">
      <c r="B9" s="40" t="s">
        <v>57</v>
      </c>
      <c r="C9" s="58">
        <v>6.2</v>
      </c>
      <c r="F9" s="40" t="s">
        <v>47</v>
      </c>
      <c r="G9" s="8">
        <v>0.35</v>
      </c>
      <c r="J9" s="40" t="s">
        <v>62</v>
      </c>
      <c r="K9" s="3">
        <f>SUM(C22:C30)*C9*G11</f>
        <v>3820.1465774654616</v>
      </c>
    </row>
    <row r="10" spans="1:15" ht="16.5" x14ac:dyDescent="0.3">
      <c r="A10" s="32" t="s">
        <v>24</v>
      </c>
      <c r="B10" s="40" t="s">
        <v>80</v>
      </c>
      <c r="C10" s="52">
        <v>0</v>
      </c>
      <c r="F10" s="40" t="s">
        <v>69</v>
      </c>
      <c r="G10" s="8">
        <v>0.38</v>
      </c>
      <c r="J10" s="40" t="s">
        <v>63</v>
      </c>
      <c r="K10" s="3">
        <f>C16*C9*G10</f>
        <v>77.818800178366814</v>
      </c>
      <c r="N10" s="16" t="s">
        <v>13</v>
      </c>
      <c r="O10" s="16">
        <f>C11*G15*G38*G39*G41</f>
        <v>1130.3287240756017</v>
      </c>
    </row>
    <row r="11" spans="1:15" x14ac:dyDescent="0.3">
      <c r="B11" s="40" t="s">
        <v>163</v>
      </c>
      <c r="C11" s="52">
        <v>914.86072590941603</v>
      </c>
      <c r="F11" s="40" t="s">
        <v>70</v>
      </c>
      <c r="G11" s="8">
        <v>0.38</v>
      </c>
      <c r="J11" s="40" t="s">
        <v>64</v>
      </c>
      <c r="K11" s="3">
        <f>C17*C9</f>
        <v>1191.8898406782698</v>
      </c>
      <c r="N11" s="18"/>
      <c r="O11" s="18"/>
    </row>
    <row r="12" spans="1:15" ht="17.25" thickBot="1" x14ac:dyDescent="0.35">
      <c r="B12" s="40" t="s">
        <v>58</v>
      </c>
      <c r="C12" s="52">
        <v>0</v>
      </c>
      <c r="F12" s="39" t="s">
        <v>48</v>
      </c>
      <c r="G12" s="10">
        <v>0.38</v>
      </c>
      <c r="J12" s="40" t="s">
        <v>65</v>
      </c>
      <c r="K12" s="3">
        <f>C18*C9*G9</f>
        <v>1827.8155227611303</v>
      </c>
      <c r="N12" s="47" t="s">
        <v>81</v>
      </c>
      <c r="O12" s="16">
        <f>C10</f>
        <v>0</v>
      </c>
    </row>
    <row r="13" spans="1:15" ht="15.75" thickBot="1" x14ac:dyDescent="0.35">
      <c r="B13" s="39" t="s">
        <v>56</v>
      </c>
      <c r="C13" s="55">
        <v>1597.2723708250642</v>
      </c>
      <c r="J13" s="39" t="s">
        <v>66</v>
      </c>
      <c r="K13" s="11">
        <f>C19*C9*G12</f>
        <v>52.373960882988023</v>
      </c>
      <c r="N13" s="18"/>
      <c r="O13" s="18"/>
    </row>
    <row r="14" spans="1:15" ht="17.25" thickBot="1" x14ac:dyDescent="0.35">
      <c r="C14" s="54"/>
      <c r="F14" s="4" t="s">
        <v>59</v>
      </c>
      <c r="G14" s="5"/>
      <c r="J14" s="106"/>
      <c r="K14" s="106"/>
      <c r="N14" s="47" t="s">
        <v>82</v>
      </c>
      <c r="O14" s="16">
        <f>C9*C13</f>
        <v>9903.0886991153984</v>
      </c>
    </row>
    <row r="15" spans="1:15" ht="17.25" thickBot="1" x14ac:dyDescent="0.35">
      <c r="B15" s="4" t="s">
        <v>51</v>
      </c>
      <c r="C15" s="5"/>
      <c r="F15" s="39" t="s">
        <v>71</v>
      </c>
      <c r="G15" s="41">
        <v>4.8</v>
      </c>
      <c r="J15" s="104" t="s">
        <v>61</v>
      </c>
      <c r="K15" s="103"/>
    </row>
    <row r="16" spans="1:15" ht="17.25" thickBot="1" x14ac:dyDescent="0.35">
      <c r="B16" s="40" t="s">
        <v>32</v>
      </c>
      <c r="C16" s="3">
        <v>33.030051009493555</v>
      </c>
      <c r="J16" s="42" t="s">
        <v>77</v>
      </c>
      <c r="K16" s="36">
        <f>C19*C33*G18*(1-G19)</f>
        <v>484.1034576183489</v>
      </c>
      <c r="N16" s="114" t="s">
        <v>93</v>
      </c>
      <c r="O16" s="115"/>
    </row>
    <row r="17" spans="2:21" ht="16.5" thickTop="1" thickBot="1" x14ac:dyDescent="0.35">
      <c r="B17" s="40" t="s">
        <v>40</v>
      </c>
      <c r="C17" s="3">
        <v>192.2402968835919</v>
      </c>
      <c r="F17" s="4" t="s">
        <v>29</v>
      </c>
      <c r="G17" s="5"/>
      <c r="J17" s="43" t="s">
        <v>78</v>
      </c>
      <c r="K17" s="7">
        <f>SUM(K32,K38,K44,K50,K56,K62,K69,K75,K81)</f>
        <v>77773.51690985405</v>
      </c>
      <c r="N17" s="108">
        <f>O8+O10+O12+O14</f>
        <v>32638.630518293692</v>
      </c>
      <c r="O17" s="108"/>
    </row>
    <row r="18" spans="2:21" ht="15.75" thickBot="1" x14ac:dyDescent="0.35">
      <c r="B18" s="40" t="s">
        <v>31</v>
      </c>
      <c r="C18" s="3">
        <v>842.31130081158085</v>
      </c>
      <c r="F18" s="2" t="s">
        <v>1</v>
      </c>
      <c r="G18" s="8">
        <v>0.34</v>
      </c>
      <c r="J18" s="22"/>
      <c r="K18" s="22"/>
      <c r="N18" s="109"/>
      <c r="O18" s="109"/>
    </row>
    <row r="19" spans="2:21" ht="15.75" thickBot="1" x14ac:dyDescent="0.35">
      <c r="B19" s="39" t="s">
        <v>41</v>
      </c>
      <c r="C19" s="11">
        <v>22.230034330640073</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48.651375134065198</v>
      </c>
      <c r="F22" s="40" t="s">
        <v>43</v>
      </c>
      <c r="G22" s="8">
        <v>0.39</v>
      </c>
      <c r="J22" s="22"/>
      <c r="K22" s="22"/>
      <c r="N22" s="40" t="s">
        <v>84</v>
      </c>
      <c r="O22" s="48">
        <f>SUM(K9:K13)*G40*G41/N17</f>
        <v>5.4135431048741439E-2</v>
      </c>
      <c r="P22" s="17"/>
      <c r="Q22" s="17"/>
      <c r="R22" s="17"/>
      <c r="S22" s="29"/>
      <c r="T22" s="29"/>
      <c r="U22" s="13"/>
    </row>
    <row r="23" spans="2:21" ht="16.5" x14ac:dyDescent="0.35">
      <c r="B23" s="75" t="s">
        <v>34</v>
      </c>
      <c r="C23" s="52">
        <v>275.71742685888773</v>
      </c>
      <c r="F23" s="40" t="s">
        <v>3</v>
      </c>
      <c r="G23" s="12">
        <v>5.3999999999999999E-2</v>
      </c>
      <c r="J23" s="22"/>
      <c r="K23" s="22"/>
      <c r="N23" s="40" t="s">
        <v>85</v>
      </c>
      <c r="O23" s="49">
        <f>K16*G40*G41/N17</f>
        <v>3.7599686187037699E-3</v>
      </c>
      <c r="P23" s="46"/>
      <c r="Q23" s="46"/>
      <c r="R23" s="46"/>
      <c r="S23" s="29"/>
      <c r="T23" s="27"/>
      <c r="U23" s="14"/>
    </row>
    <row r="24" spans="2:21" x14ac:dyDescent="0.3">
      <c r="B24" s="75" t="s">
        <v>35</v>
      </c>
      <c r="C24" s="56">
        <v>0</v>
      </c>
      <c r="F24" s="2" t="s">
        <v>4</v>
      </c>
      <c r="G24" s="8">
        <v>0.5</v>
      </c>
      <c r="J24" s="22"/>
      <c r="K24" s="22"/>
      <c r="N24" s="40" t="s">
        <v>86</v>
      </c>
      <c r="O24" s="8"/>
      <c r="P24" s="17"/>
      <c r="Q24" s="17"/>
      <c r="R24" s="17"/>
      <c r="S24" s="27"/>
      <c r="T24" s="27"/>
      <c r="U24" s="14"/>
    </row>
    <row r="25" spans="2:21" ht="16.5" x14ac:dyDescent="0.3">
      <c r="B25" s="40" t="s">
        <v>54</v>
      </c>
      <c r="C25" s="52">
        <v>40.542812611721004</v>
      </c>
      <c r="F25" s="40" t="s">
        <v>74</v>
      </c>
      <c r="G25" s="3">
        <v>200</v>
      </c>
      <c r="N25" s="40" t="s">
        <v>33</v>
      </c>
      <c r="O25" s="8">
        <f>K32*G40*G41/N17</f>
        <v>8.4419868442266333E-3</v>
      </c>
      <c r="P25" s="17"/>
      <c r="Q25" s="17"/>
      <c r="R25" s="17"/>
      <c r="S25" s="27"/>
      <c r="T25" s="27"/>
      <c r="U25" s="14"/>
    </row>
    <row r="26" spans="2:21" ht="16.5" x14ac:dyDescent="0.35">
      <c r="B26" s="75" t="s">
        <v>36</v>
      </c>
      <c r="C26" s="52">
        <v>0</v>
      </c>
      <c r="F26" s="2"/>
      <c r="G26" s="3"/>
      <c r="J26" s="107" t="s">
        <v>73</v>
      </c>
      <c r="K26" s="107"/>
      <c r="N26" s="40" t="s">
        <v>34</v>
      </c>
      <c r="O26" s="8">
        <f>K38*G40*G41/N17</f>
        <v>5.842221172059002E-2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830.05044944198914</v>
      </c>
      <c r="F28" s="40" t="s">
        <v>197</v>
      </c>
      <c r="G28" s="99">
        <v>1.4158928571428572E-2</v>
      </c>
      <c r="J28" s="102" t="s">
        <v>19</v>
      </c>
      <c r="K28" s="103"/>
      <c r="N28" s="40" t="s">
        <v>54</v>
      </c>
      <c r="O28" s="8">
        <f>K50*G40*G41/N17</f>
        <v>3.7634988961192925E-2</v>
      </c>
      <c r="P28" s="17"/>
      <c r="Q28" s="17"/>
      <c r="R28" s="17"/>
      <c r="S28" s="27"/>
      <c r="T28" s="27"/>
      <c r="U28" s="14"/>
    </row>
    <row r="29" spans="2:21" ht="16.5" x14ac:dyDescent="0.3">
      <c r="B29" s="40" t="s">
        <v>53</v>
      </c>
      <c r="C29" s="52">
        <v>0</v>
      </c>
      <c r="F29" s="40" t="s">
        <v>198</v>
      </c>
      <c r="G29" s="99">
        <v>3.8750500000000005E-3</v>
      </c>
      <c r="J29" s="40" t="s">
        <v>75</v>
      </c>
      <c r="K29" s="3">
        <f>C35*C22</f>
        <v>5351.6512647471718</v>
      </c>
      <c r="N29" s="40" t="s">
        <v>36</v>
      </c>
      <c r="O29" s="8">
        <f>K56*G40*G41/N17</f>
        <v>0</v>
      </c>
      <c r="P29" s="17"/>
      <c r="Q29" s="17"/>
      <c r="R29" s="17"/>
      <c r="S29" s="27"/>
      <c r="T29" s="27"/>
      <c r="U29" s="14"/>
    </row>
    <row r="30" spans="2:21" ht="17.25" thickBot="1" x14ac:dyDescent="0.35">
      <c r="B30" s="39" t="s">
        <v>39</v>
      </c>
      <c r="C30" s="55">
        <v>426.49234065005226</v>
      </c>
      <c r="F30" s="42" t="s">
        <v>199</v>
      </c>
      <c r="G30" s="99">
        <v>1.8E-3</v>
      </c>
      <c r="J30" s="2" t="s">
        <v>7</v>
      </c>
      <c r="K30" s="3">
        <f>C46*G27*C22</f>
        <v>4264.7286239226778</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1086.922640824494</v>
      </c>
      <c r="M31" s="17"/>
      <c r="N31" s="40" t="s">
        <v>87</v>
      </c>
      <c r="O31" s="8">
        <f>K69*G40*G41/N17</f>
        <v>0.43453842864648545</v>
      </c>
      <c r="P31" s="17"/>
      <c r="Q31" s="17"/>
      <c r="R31" s="17"/>
      <c r="S31" s="27"/>
      <c r="T31" s="27"/>
      <c r="U31" s="14"/>
    </row>
    <row r="32" spans="2:21" ht="17.25" thickBot="1" x14ac:dyDescent="0.35">
      <c r="B32" s="4" t="s">
        <v>72</v>
      </c>
      <c r="C32" s="5"/>
      <c r="F32" s="40" t="s">
        <v>201</v>
      </c>
      <c r="G32" s="99">
        <v>1.6585714285714283E-2</v>
      </c>
      <c r="J32" s="6" t="s">
        <v>11</v>
      </c>
      <c r="K32" s="11">
        <f>K31</f>
        <v>1086.922640824494</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6.5019178600115746E-2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41909.048882550938</v>
      </c>
      <c r="N35" s="42" t="s">
        <v>89</v>
      </c>
      <c r="O35" s="8">
        <f>O10/N17</f>
        <v>3.4631622287033807E-2</v>
      </c>
      <c r="P35" s="17"/>
      <c r="Q35" s="17"/>
      <c r="R35" s="17"/>
      <c r="S35" s="17"/>
      <c r="T35" s="17"/>
    </row>
    <row r="36" spans="2:20" ht="17.25" thickBot="1" x14ac:dyDescent="0.35">
      <c r="B36" s="75" t="s">
        <v>34</v>
      </c>
      <c r="C36" s="52">
        <v>152</v>
      </c>
      <c r="J36" s="2" t="s">
        <v>7</v>
      </c>
      <c r="K36" s="3">
        <f>C47*G28*C23</f>
        <v>34387.072620579085</v>
      </c>
      <c r="N36" s="42" t="s">
        <v>90</v>
      </c>
      <c r="O36" s="8">
        <f>O12/N17</f>
        <v>0</v>
      </c>
      <c r="P36" s="17"/>
      <c r="Q36" s="17"/>
      <c r="R36" s="17"/>
      <c r="S36" s="17"/>
      <c r="T36" s="17"/>
    </row>
    <row r="37" spans="2:20" ht="16.5" x14ac:dyDescent="0.3">
      <c r="B37" s="75" t="s">
        <v>35</v>
      </c>
      <c r="C37" s="52">
        <v>152</v>
      </c>
      <c r="F37" s="4" t="s">
        <v>30</v>
      </c>
      <c r="G37" s="15"/>
      <c r="H37" s="35"/>
      <c r="J37" s="2" t="s">
        <v>8</v>
      </c>
      <c r="K37" s="36">
        <f>K35-K36</f>
        <v>7521.9762619718531</v>
      </c>
      <c r="N37" s="42" t="s">
        <v>91</v>
      </c>
      <c r="O37" s="8">
        <f>O14/N17</f>
        <v>0.3034161832729102</v>
      </c>
      <c r="P37" s="17"/>
      <c r="Q37" s="17"/>
      <c r="R37" s="17"/>
      <c r="S37" s="17"/>
      <c r="T37" s="17"/>
    </row>
    <row r="38" spans="2:20" ht="18" thickBot="1" x14ac:dyDescent="0.4">
      <c r="B38" s="40" t="s">
        <v>54</v>
      </c>
      <c r="C38" s="56">
        <v>121</v>
      </c>
      <c r="F38" s="40" t="s">
        <v>68</v>
      </c>
      <c r="G38" s="8">
        <v>0.6</v>
      </c>
      <c r="H38" s="33"/>
      <c r="J38" s="6" t="s">
        <v>11</v>
      </c>
      <c r="K38" s="11">
        <f>K37</f>
        <v>7521.9762619718531</v>
      </c>
      <c r="N38" s="50" t="s">
        <v>92</v>
      </c>
      <c r="O38" s="51">
        <f>SUM(O22:O37)</f>
        <v>0.99999999999999989</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4526.0364238410593</v>
      </c>
      <c r="H46" s="34"/>
      <c r="J46" s="104" t="s">
        <v>23</v>
      </c>
      <c r="K46" s="103"/>
      <c r="N46" s="17"/>
      <c r="O46" s="17"/>
      <c r="P46" s="17"/>
      <c r="Q46" s="17"/>
      <c r="R46" s="17"/>
      <c r="S46" s="17"/>
      <c r="T46" s="17"/>
    </row>
    <row r="47" spans="2:20" ht="16.5" x14ac:dyDescent="0.3">
      <c r="B47" s="75" t="s">
        <v>34</v>
      </c>
      <c r="C47" s="52">
        <v>8808.4724061810157</v>
      </c>
      <c r="H47" s="34"/>
      <c r="J47" s="40" t="s">
        <v>75</v>
      </c>
      <c r="K47" s="3">
        <f>C25*C38</f>
        <v>4905.6803260182414</v>
      </c>
      <c r="N47" s="17"/>
      <c r="O47" s="17"/>
      <c r="P47" s="17"/>
      <c r="Q47" s="17"/>
      <c r="R47" s="17"/>
      <c r="S47" s="17"/>
      <c r="T47" s="17"/>
    </row>
    <row r="48" spans="2:20" ht="16.5" x14ac:dyDescent="0.3">
      <c r="B48" s="75" t="s">
        <v>35</v>
      </c>
      <c r="C48" s="52"/>
      <c r="D48"/>
      <c r="E48"/>
      <c r="H48" s="34"/>
      <c r="J48" s="2" t="s">
        <v>7</v>
      </c>
      <c r="K48" s="3">
        <f>C49*G30*C25</f>
        <v>60.100447263063906</v>
      </c>
      <c r="M48"/>
      <c r="N48" s="17"/>
      <c r="O48" s="17"/>
      <c r="P48" s="17"/>
      <c r="Q48" s="17"/>
      <c r="R48" s="17"/>
      <c r="S48" s="17"/>
      <c r="T48" s="17"/>
    </row>
    <row r="49" spans="2:20" ht="16.5" x14ac:dyDescent="0.3">
      <c r="B49" s="40" t="s">
        <v>54</v>
      </c>
      <c r="C49" s="52">
        <v>823.55256622516549</v>
      </c>
      <c r="E49"/>
      <c r="H49" s="34"/>
      <c r="J49" s="2" t="s">
        <v>8</v>
      </c>
      <c r="K49" s="3">
        <f>K47-K48</f>
        <v>4845.5798787551776</v>
      </c>
      <c r="M49"/>
      <c r="N49" s="17"/>
      <c r="O49" s="17"/>
      <c r="P49" s="17"/>
      <c r="Q49" s="17"/>
      <c r="R49" s="17"/>
      <c r="S49" s="17"/>
      <c r="T49" s="17"/>
    </row>
    <row r="50" spans="2:20" ht="17.25" thickBot="1" x14ac:dyDescent="0.35">
      <c r="B50" s="75" t="s">
        <v>36</v>
      </c>
      <c r="C50" s="52"/>
      <c r="D50"/>
      <c r="E50"/>
      <c r="H50" s="34"/>
      <c r="J50" s="6" t="s">
        <v>11</v>
      </c>
      <c r="K50" s="11">
        <f>K49</f>
        <v>4845.5798787551776</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2246.2052980132448</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4226.7665562913908</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166010.08988839784</v>
      </c>
      <c r="N66" s="17"/>
      <c r="O66" s="17"/>
      <c r="P66" s="30"/>
      <c r="Q66" s="30"/>
      <c r="R66" s="17"/>
      <c r="S66" s="17"/>
      <c r="T66" s="17"/>
    </row>
    <row r="67" spans="4:20" ht="16.5" x14ac:dyDescent="0.3">
      <c r="F67" s="20"/>
      <c r="G67" s="31"/>
      <c r="H67" s="20"/>
      <c r="J67" s="2" t="s">
        <v>7</v>
      </c>
      <c r="K67" s="3">
        <f>C52*G33*C28</f>
        <v>110062.40066318063</v>
      </c>
      <c r="N67" s="17"/>
      <c r="O67" s="17"/>
      <c r="P67" s="30"/>
      <c r="Q67" s="30"/>
      <c r="R67" s="17"/>
      <c r="S67" s="17"/>
      <c r="T67" s="17"/>
    </row>
    <row r="68" spans="4:20" ht="16.5" x14ac:dyDescent="0.3">
      <c r="F68" s="26"/>
      <c r="G68" s="22"/>
      <c r="H68" s="26"/>
      <c r="J68" s="2" t="s">
        <v>8</v>
      </c>
      <c r="K68" s="3">
        <f>(K65+K66)-K67</f>
        <v>55947.689225217211</v>
      </c>
      <c r="N68" s="17"/>
      <c r="O68" s="17"/>
      <c r="P68" s="30"/>
      <c r="Q68" s="30"/>
      <c r="R68" s="17"/>
      <c r="S68" s="17"/>
      <c r="T68" s="17"/>
    </row>
    <row r="69" spans="4:20" ht="17.25" thickBot="1" x14ac:dyDescent="0.35">
      <c r="F69" s="26"/>
      <c r="G69" s="22"/>
      <c r="H69" s="26"/>
      <c r="J69" s="6" t="s">
        <v>11</v>
      </c>
      <c r="K69" s="11">
        <f>K68</f>
        <v>55947.689225217211</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42222.741724355175</v>
      </c>
      <c r="N78" s="17"/>
      <c r="O78" s="17"/>
      <c r="P78" s="17"/>
      <c r="Q78" s="17"/>
      <c r="R78" s="17"/>
      <c r="S78" s="17"/>
      <c r="T78" s="17"/>
    </row>
    <row r="79" spans="4:20" ht="16.5" x14ac:dyDescent="0.3">
      <c r="J79" s="19" t="s">
        <v>14</v>
      </c>
      <c r="K79" s="3">
        <f>C54*G35*C30</f>
        <v>33851.392821269867</v>
      </c>
      <c r="N79" s="17"/>
      <c r="O79" s="17"/>
      <c r="P79" s="17"/>
      <c r="Q79" s="17"/>
      <c r="R79" s="17"/>
      <c r="S79" s="17"/>
      <c r="T79" s="17"/>
    </row>
    <row r="80" spans="4:20" ht="16.5" x14ac:dyDescent="0.3">
      <c r="J80" s="19" t="s">
        <v>15</v>
      </c>
      <c r="K80" s="3">
        <f>K78-K79</f>
        <v>8371.3489030853088</v>
      </c>
      <c r="N80" s="17"/>
      <c r="O80" s="17"/>
      <c r="P80" s="17"/>
      <c r="Q80" s="17"/>
      <c r="R80" s="17"/>
      <c r="S80" s="17"/>
      <c r="T80" s="17"/>
    </row>
    <row r="81" spans="10:20" ht="17.25" thickBot="1" x14ac:dyDescent="0.35">
      <c r="J81" s="21" t="s">
        <v>16</v>
      </c>
      <c r="K81" s="11">
        <f>K78-K79</f>
        <v>8371.3489030853088</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113</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18590.649807960246</v>
      </c>
    </row>
    <row r="9" spans="1:15" ht="16.5" x14ac:dyDescent="0.3">
      <c r="B9" s="40" t="s">
        <v>57</v>
      </c>
      <c r="C9" s="58">
        <v>6.2</v>
      </c>
      <c r="F9" s="40" t="s">
        <v>47</v>
      </c>
      <c r="G9" s="8">
        <v>0.35</v>
      </c>
      <c r="J9" s="40" t="s">
        <v>62</v>
      </c>
      <c r="K9" s="3">
        <f>SUM(C22:C30)*C9*G11</f>
        <v>3212.3237106252664</v>
      </c>
    </row>
    <row r="10" spans="1:15" ht="16.5" x14ac:dyDescent="0.3">
      <c r="A10" s="32" t="s">
        <v>24</v>
      </c>
      <c r="B10" s="40" t="s">
        <v>80</v>
      </c>
      <c r="C10" s="52">
        <v>0</v>
      </c>
      <c r="F10" s="40" t="s">
        <v>69</v>
      </c>
      <c r="G10" s="8">
        <v>0.38</v>
      </c>
      <c r="J10" s="40" t="s">
        <v>63</v>
      </c>
      <c r="K10" s="3">
        <f>C16*C9*G10</f>
        <v>192.74465766249435</v>
      </c>
      <c r="N10" s="16" t="s">
        <v>13</v>
      </c>
      <c r="O10" s="16">
        <f>C11*G15*G38*G39*G41</f>
        <v>816.1878600720645</v>
      </c>
    </row>
    <row r="11" spans="1:15" x14ac:dyDescent="0.3">
      <c r="B11" s="40" t="s">
        <v>163</v>
      </c>
      <c r="C11" s="52">
        <v>660.60270984853707</v>
      </c>
      <c r="F11" s="40" t="s">
        <v>70</v>
      </c>
      <c r="G11" s="8">
        <v>0.38</v>
      </c>
      <c r="J11" s="40" t="s">
        <v>64</v>
      </c>
      <c r="K11" s="3">
        <f>C17*C9</f>
        <v>1283.4019820037549</v>
      </c>
      <c r="N11" s="18"/>
      <c r="O11" s="18"/>
    </row>
    <row r="12" spans="1:15" ht="17.25" thickBot="1" x14ac:dyDescent="0.35">
      <c r="B12" s="40" t="s">
        <v>58</v>
      </c>
      <c r="C12" s="52">
        <v>0</v>
      </c>
      <c r="F12" s="39" t="s">
        <v>48</v>
      </c>
      <c r="G12" s="10">
        <v>0.38</v>
      </c>
      <c r="J12" s="40" t="s">
        <v>65</v>
      </c>
      <c r="K12" s="3">
        <f>C18*C9*G9</f>
        <v>2136.3899993037721</v>
      </c>
      <c r="N12" s="47" t="s">
        <v>81</v>
      </c>
      <c r="O12" s="16">
        <f>C10</f>
        <v>0</v>
      </c>
    </row>
    <row r="13" spans="1:15" ht="15.75" thickBot="1" x14ac:dyDescent="0.35">
      <c r="B13" s="39" t="s">
        <v>56</v>
      </c>
      <c r="C13" s="55">
        <v>2429.8461980307152</v>
      </c>
      <c r="J13" s="39" t="s">
        <v>66</v>
      </c>
      <c r="K13" s="11">
        <f>C19*C9*G12</f>
        <v>108.56464766028286</v>
      </c>
      <c r="N13" s="18"/>
      <c r="O13" s="18"/>
    </row>
    <row r="14" spans="1:15" ht="17.25" thickBot="1" x14ac:dyDescent="0.35">
      <c r="C14" s="54"/>
      <c r="F14" s="4" t="s">
        <v>59</v>
      </c>
      <c r="G14" s="5"/>
      <c r="J14" s="106"/>
      <c r="K14" s="106"/>
      <c r="N14" s="47" t="s">
        <v>82</v>
      </c>
      <c r="O14" s="16">
        <f>C9*C13</f>
        <v>15065.046427790434</v>
      </c>
    </row>
    <row r="15" spans="1:15" ht="17.25" thickBot="1" x14ac:dyDescent="0.35">
      <c r="B15" s="4" t="s">
        <v>51</v>
      </c>
      <c r="C15" s="5"/>
      <c r="F15" s="39" t="s">
        <v>71</v>
      </c>
      <c r="G15" s="41">
        <v>4.8</v>
      </c>
      <c r="J15" s="104" t="s">
        <v>61</v>
      </c>
      <c r="K15" s="103"/>
    </row>
    <row r="16" spans="1:15" ht="17.25" thickBot="1" x14ac:dyDescent="0.35">
      <c r="B16" s="40" t="s">
        <v>32</v>
      </c>
      <c r="C16" s="3">
        <v>81.810126342315087</v>
      </c>
      <c r="J16" s="42" t="s">
        <v>77</v>
      </c>
      <c r="K16" s="36">
        <f>C19*C33*G18*(1-G19)</f>
        <v>1003.4857097190066</v>
      </c>
      <c r="N16" s="114" t="s">
        <v>93</v>
      </c>
      <c r="O16" s="115"/>
    </row>
    <row r="17" spans="2:21" ht="16.5" thickTop="1" thickBot="1" x14ac:dyDescent="0.35">
      <c r="B17" s="40" t="s">
        <v>40</v>
      </c>
      <c r="C17" s="3">
        <v>207.00031967802499</v>
      </c>
      <c r="F17" s="4" t="s">
        <v>29</v>
      </c>
      <c r="G17" s="5"/>
      <c r="J17" s="43" t="s">
        <v>78</v>
      </c>
      <c r="K17" s="7">
        <f>SUM(K32,K38,K44,K50,K56,K62,K69,K75,K81)</f>
        <v>65398.985971369584</v>
      </c>
      <c r="N17" s="108">
        <f>O8+O10+O12+O14</f>
        <v>34471.884095822745</v>
      </c>
      <c r="O17" s="108"/>
    </row>
    <row r="18" spans="2:21" ht="15.75" thickBot="1" x14ac:dyDescent="0.35">
      <c r="B18" s="40" t="s">
        <v>31</v>
      </c>
      <c r="C18" s="3">
        <v>984.51152041648493</v>
      </c>
      <c r="F18" s="2" t="s">
        <v>1</v>
      </c>
      <c r="G18" s="8">
        <v>0.34</v>
      </c>
      <c r="J18" s="22"/>
      <c r="K18" s="22"/>
      <c r="N18" s="109"/>
      <c r="O18" s="109"/>
    </row>
    <row r="19" spans="2:21" ht="15.75" thickBot="1" x14ac:dyDescent="0.35">
      <c r="B19" s="39" t="s">
        <v>41</v>
      </c>
      <c r="C19" s="11">
        <v>46.080071163108173</v>
      </c>
      <c r="F19" s="6" t="s">
        <v>2</v>
      </c>
      <c r="G19" s="10">
        <v>0.39</v>
      </c>
      <c r="J19" s="110" t="s">
        <v>67</v>
      </c>
      <c r="K19" s="111"/>
    </row>
    <row r="20" spans="2:21" ht="17.25" thickBot="1" x14ac:dyDescent="0.35">
      <c r="C20" s="54"/>
      <c r="J20" s="2" t="s">
        <v>9</v>
      </c>
      <c r="K20" s="3">
        <f>C12*G23*(1-G24)</f>
        <v>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40.910463179496965</v>
      </c>
      <c r="F22" s="40" t="s">
        <v>43</v>
      </c>
      <c r="G22" s="8">
        <v>0.39</v>
      </c>
      <c r="J22" s="22"/>
      <c r="K22" s="22"/>
      <c r="N22" s="40" t="s">
        <v>84</v>
      </c>
      <c r="O22" s="48">
        <f>SUM(K9:K13)*G40*G41/N17</f>
        <v>5.0987153238232011E-2</v>
      </c>
      <c r="P22" s="17"/>
      <c r="Q22" s="17"/>
      <c r="R22" s="17"/>
      <c r="S22" s="29"/>
      <c r="T22" s="29"/>
      <c r="U22" s="13"/>
    </row>
    <row r="23" spans="2:21" ht="16.5" x14ac:dyDescent="0.35">
      <c r="B23" s="75" t="s">
        <v>34</v>
      </c>
      <c r="C23" s="52">
        <v>231.84807435295335</v>
      </c>
      <c r="F23" s="40" t="s">
        <v>3</v>
      </c>
      <c r="G23" s="12">
        <v>5.3999999999999999E-2</v>
      </c>
      <c r="J23" s="22"/>
      <c r="K23" s="22"/>
      <c r="N23" s="40" t="s">
        <v>85</v>
      </c>
      <c r="O23" s="49">
        <f>K16*G40*G41/N17</f>
        <v>7.3794523881157417E-3</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34.092052649580808</v>
      </c>
      <c r="F25" s="40" t="s">
        <v>74</v>
      </c>
      <c r="G25" s="3">
        <v>200</v>
      </c>
      <c r="N25" s="40" t="s">
        <v>33</v>
      </c>
      <c r="O25" s="8">
        <f>K32*G40*G41/N17</f>
        <v>6.7212624582691288E-3</v>
      </c>
      <c r="P25" s="17"/>
      <c r="Q25" s="17"/>
      <c r="R25" s="17"/>
      <c r="S25" s="27"/>
      <c r="T25" s="27"/>
      <c r="U25" s="14"/>
    </row>
    <row r="26" spans="2:21" ht="16.5" x14ac:dyDescent="0.35">
      <c r="B26" s="75" t="s">
        <v>36</v>
      </c>
      <c r="C26" s="52">
        <v>0</v>
      </c>
      <c r="F26" s="2"/>
      <c r="G26" s="3"/>
      <c r="J26" s="107" t="s">
        <v>73</v>
      </c>
      <c r="K26" s="107"/>
      <c r="N26" s="40" t="s">
        <v>34</v>
      </c>
      <c r="O26" s="8">
        <f>K38*G40*G41/N17</f>
        <v>4.65140523922037E-2</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697.98126477301844</v>
      </c>
      <c r="F28" s="40" t="s">
        <v>197</v>
      </c>
      <c r="G28" s="99">
        <v>1.4158928571428572E-2</v>
      </c>
      <c r="J28" s="102" t="s">
        <v>19</v>
      </c>
      <c r="K28" s="103"/>
      <c r="N28" s="40" t="s">
        <v>54</v>
      </c>
      <c r="O28" s="8">
        <f>K50*G40*G41/N17</f>
        <v>2.9963874984623027E-2</v>
      </c>
      <c r="P28" s="17"/>
      <c r="Q28" s="17"/>
      <c r="R28" s="17"/>
      <c r="S28" s="27"/>
      <c r="T28" s="27"/>
      <c r="U28" s="14"/>
    </row>
    <row r="29" spans="2:21" ht="16.5" x14ac:dyDescent="0.3">
      <c r="B29" s="40" t="s">
        <v>53</v>
      </c>
      <c r="C29" s="52">
        <v>0</v>
      </c>
      <c r="F29" s="40" t="s">
        <v>198</v>
      </c>
      <c r="G29" s="99">
        <v>3.8750500000000005E-3</v>
      </c>
      <c r="J29" s="40" t="s">
        <v>75</v>
      </c>
      <c r="K29" s="3">
        <f>C35*C22</f>
        <v>4500.1509497446659</v>
      </c>
      <c r="N29" s="40" t="s">
        <v>36</v>
      </c>
      <c r="O29" s="8">
        <f>K56*G40*G41/N17</f>
        <v>0</v>
      </c>
      <c r="P29" s="17"/>
      <c r="Q29" s="17"/>
      <c r="R29" s="17"/>
      <c r="S29" s="27"/>
      <c r="T29" s="27"/>
      <c r="U29" s="14"/>
    </row>
    <row r="30" spans="2:21" ht="17.25" thickBot="1" x14ac:dyDescent="0.35">
      <c r="B30" s="39" t="s">
        <v>39</v>
      </c>
      <c r="C30" s="55">
        <v>358.63321746654043</v>
      </c>
      <c r="F30" s="42" t="s">
        <v>199</v>
      </c>
      <c r="G30" s="99">
        <v>1.8E-3</v>
      </c>
      <c r="J30" s="2" t="s">
        <v>7</v>
      </c>
      <c r="K30" s="3">
        <f>C46*G27*C22</f>
        <v>3586.1683839101174</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913.9825658345485</v>
      </c>
      <c r="M31" s="17"/>
      <c r="N31" s="40" t="s">
        <v>87</v>
      </c>
      <c r="O31" s="8">
        <f>K69*G40*G41/N17</f>
        <v>0.34596675889565914</v>
      </c>
      <c r="P31" s="17"/>
      <c r="Q31" s="17"/>
      <c r="R31" s="17"/>
      <c r="S31" s="27"/>
      <c r="T31" s="27"/>
      <c r="U31" s="14"/>
    </row>
    <row r="32" spans="2:21" ht="17.25" thickBot="1" x14ac:dyDescent="0.35">
      <c r="B32" s="4" t="s">
        <v>72</v>
      </c>
      <c r="C32" s="5"/>
      <c r="F32" s="40" t="s">
        <v>201</v>
      </c>
      <c r="G32" s="99">
        <v>1.6585714285714283E-2</v>
      </c>
      <c r="J32" s="6" t="s">
        <v>11</v>
      </c>
      <c r="K32" s="11">
        <f>K31</f>
        <v>913.9825658345485</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5.1766364039209541E-2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110</v>
      </c>
      <c r="F35" s="43" t="s">
        <v>204</v>
      </c>
      <c r="G35" s="100">
        <v>1.8778333333333334E-2</v>
      </c>
      <c r="J35" s="40" t="s">
        <v>75</v>
      </c>
      <c r="K35" s="3">
        <f>C36*C23</f>
        <v>35240.907301648906</v>
      </c>
      <c r="N35" s="42" t="s">
        <v>89</v>
      </c>
      <c r="O35" s="8">
        <f>O10/N17</f>
        <v>2.3676914722829699E-2</v>
      </c>
      <c r="P35" s="17"/>
      <c r="Q35" s="17"/>
      <c r="R35" s="17"/>
      <c r="S35" s="17"/>
      <c r="T35" s="17"/>
    </row>
    <row r="36" spans="2:20" ht="17.25" thickBot="1" x14ac:dyDescent="0.35">
      <c r="B36" s="75" t="s">
        <v>34</v>
      </c>
      <c r="C36" s="52">
        <v>152</v>
      </c>
      <c r="J36" s="2" t="s">
        <v>7</v>
      </c>
      <c r="K36" s="3">
        <f>C47*G28*C23</f>
        <v>28915.751392808383</v>
      </c>
      <c r="N36" s="42" t="s">
        <v>90</v>
      </c>
      <c r="O36" s="8">
        <f>O12/N17</f>
        <v>0</v>
      </c>
      <c r="P36" s="17"/>
      <c r="Q36" s="17"/>
      <c r="R36" s="17"/>
      <c r="S36" s="17"/>
      <c r="T36" s="17"/>
    </row>
    <row r="37" spans="2:20" ht="16.5" x14ac:dyDescent="0.3">
      <c r="B37" s="75" t="s">
        <v>35</v>
      </c>
      <c r="C37" s="52">
        <v>152</v>
      </c>
      <c r="F37" s="4" t="s">
        <v>30</v>
      </c>
      <c r="G37" s="15"/>
      <c r="H37" s="35"/>
      <c r="J37" s="2" t="s">
        <v>8</v>
      </c>
      <c r="K37" s="36">
        <f>K35-K36</f>
        <v>6325.1559088405229</v>
      </c>
      <c r="N37" s="42" t="s">
        <v>91</v>
      </c>
      <c r="O37" s="8">
        <f>O14/N17</f>
        <v>0.43702416688085799</v>
      </c>
      <c r="P37" s="17"/>
      <c r="Q37" s="17"/>
      <c r="R37" s="17"/>
      <c r="S37" s="17"/>
      <c r="T37" s="17"/>
    </row>
    <row r="38" spans="2:20" ht="18" thickBot="1" x14ac:dyDescent="0.4">
      <c r="B38" s="40" t="s">
        <v>54</v>
      </c>
      <c r="C38" s="56">
        <v>121</v>
      </c>
      <c r="F38" s="40" t="s">
        <v>68</v>
      </c>
      <c r="G38" s="8">
        <v>0.6</v>
      </c>
      <c r="H38" s="33"/>
      <c r="J38" s="6" t="s">
        <v>11</v>
      </c>
      <c r="K38" s="11">
        <f>K37</f>
        <v>6325.1559088405229</v>
      </c>
      <c r="N38" s="50" t="s">
        <v>92</v>
      </c>
      <c r="O38" s="51">
        <f>SUM(O22:O37)</f>
        <v>1</v>
      </c>
      <c r="P38" s="17"/>
      <c r="Q38" s="17"/>
      <c r="R38" s="17"/>
      <c r="S38" s="17"/>
      <c r="T38" s="17"/>
    </row>
    <row r="39" spans="2:20" ht="15.75" thickBot="1" x14ac:dyDescent="0.35">
      <c r="B39" s="75" t="s">
        <v>36</v>
      </c>
      <c r="C39" s="52">
        <v>102</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99</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4526.0364238410593</v>
      </c>
      <c r="H46" s="34"/>
      <c r="J46" s="104" t="s">
        <v>23</v>
      </c>
      <c r="K46" s="103"/>
      <c r="N46" s="17"/>
      <c r="O46" s="17"/>
      <c r="P46" s="17"/>
      <c r="Q46" s="17"/>
      <c r="R46" s="17"/>
      <c r="S46" s="17"/>
      <c r="T46" s="17"/>
    </row>
    <row r="47" spans="2:20" ht="16.5" x14ac:dyDescent="0.3">
      <c r="B47" s="75" t="s">
        <v>34</v>
      </c>
      <c r="C47" s="52">
        <v>8808.4724061810157</v>
      </c>
      <c r="H47" s="34"/>
      <c r="J47" s="40" t="s">
        <v>75</v>
      </c>
      <c r="K47" s="3">
        <f>C25*C38</f>
        <v>4125.1383705992776</v>
      </c>
      <c r="N47" s="17"/>
      <c r="O47" s="17"/>
      <c r="P47" s="17"/>
      <c r="Q47" s="17"/>
      <c r="R47" s="17"/>
      <c r="S47" s="17"/>
      <c r="T47" s="17"/>
    </row>
    <row r="48" spans="2:20" ht="16.5" x14ac:dyDescent="0.3">
      <c r="B48" s="75" t="s">
        <v>35</v>
      </c>
      <c r="C48" s="52"/>
      <c r="D48"/>
      <c r="E48"/>
      <c r="H48" s="34"/>
      <c r="J48" s="2" t="s">
        <v>7</v>
      </c>
      <c r="K48" s="3">
        <f>C49*G30*C25</f>
        <v>50.53787540540231</v>
      </c>
      <c r="M48"/>
      <c r="N48" s="17"/>
      <c r="O48" s="17"/>
      <c r="P48" s="17"/>
      <c r="Q48" s="17"/>
      <c r="R48" s="17"/>
      <c r="S48" s="17"/>
      <c r="T48" s="17"/>
    </row>
    <row r="49" spans="2:20" ht="16.5" x14ac:dyDescent="0.3">
      <c r="B49" s="40" t="s">
        <v>54</v>
      </c>
      <c r="C49" s="52">
        <v>823.55256622516549</v>
      </c>
      <c r="E49"/>
      <c r="H49" s="34"/>
      <c r="J49" s="2" t="s">
        <v>8</v>
      </c>
      <c r="K49" s="3">
        <f>K47-K48</f>
        <v>4074.6004951938753</v>
      </c>
      <c r="M49"/>
      <c r="N49" s="17"/>
      <c r="O49" s="17"/>
      <c r="P49" s="17"/>
      <c r="Q49" s="17"/>
      <c r="R49" s="17"/>
      <c r="S49" s="17"/>
      <c r="T49" s="17"/>
    </row>
    <row r="50" spans="2:20" ht="17.25" thickBot="1" x14ac:dyDescent="0.35">
      <c r="B50" s="75" t="s">
        <v>36</v>
      </c>
      <c r="C50" s="52"/>
      <c r="D50"/>
      <c r="E50"/>
      <c r="H50" s="34"/>
      <c r="J50" s="6" t="s">
        <v>11</v>
      </c>
      <c r="K50" s="11">
        <f>K49</f>
        <v>4074.6004951938753</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2246.2052980132448</v>
      </c>
      <c r="D52" s="28"/>
      <c r="E52"/>
      <c r="H52" s="34"/>
      <c r="J52" s="102" t="s">
        <v>18</v>
      </c>
      <c r="K52" s="103"/>
      <c r="M52"/>
      <c r="N52" s="17"/>
      <c r="O52" s="17"/>
      <c r="P52" s="17"/>
      <c r="Q52" s="17"/>
      <c r="R52" s="17"/>
      <c r="S52" s="17"/>
      <c r="T52" s="17"/>
    </row>
    <row r="53" spans="2:20" ht="16.5" x14ac:dyDescent="0.3">
      <c r="B53" s="40" t="s">
        <v>53</v>
      </c>
      <c r="C53" s="52">
        <v>44832</v>
      </c>
      <c r="D53" s="28"/>
      <c r="E53"/>
      <c r="H53" s="34"/>
      <c r="J53" s="40" t="s">
        <v>75</v>
      </c>
      <c r="K53" s="3">
        <f>C39*C26</f>
        <v>0</v>
      </c>
      <c r="M53"/>
      <c r="N53" s="17"/>
      <c r="O53" s="17"/>
      <c r="P53" s="17"/>
      <c r="Q53" s="17"/>
      <c r="R53" s="17"/>
      <c r="S53" s="17"/>
      <c r="T53" s="17"/>
    </row>
    <row r="54" spans="2:20" ht="17.25" thickBot="1" x14ac:dyDescent="0.35">
      <c r="B54" s="39" t="s">
        <v>39</v>
      </c>
      <c r="C54" s="55">
        <v>4226.7665562913908</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139596.2529546037</v>
      </c>
      <c r="N66" s="17"/>
      <c r="O66" s="17"/>
      <c r="P66" s="30"/>
      <c r="Q66" s="30"/>
      <c r="R66" s="17"/>
      <c r="S66" s="17"/>
      <c r="T66" s="17"/>
    </row>
    <row r="67" spans="4:20" ht="16.5" x14ac:dyDescent="0.3">
      <c r="F67" s="20"/>
      <c r="G67" s="31"/>
      <c r="H67" s="20"/>
      <c r="J67" s="2" t="s">
        <v>7</v>
      </c>
      <c r="K67" s="3">
        <f>C52*G33*C28</f>
        <v>92550.390967784711</v>
      </c>
      <c r="N67" s="17"/>
      <c r="O67" s="17"/>
      <c r="P67" s="30"/>
      <c r="Q67" s="30"/>
      <c r="R67" s="17"/>
      <c r="S67" s="17"/>
      <c r="T67" s="17"/>
    </row>
    <row r="68" spans="4:20" ht="16.5" x14ac:dyDescent="0.3">
      <c r="F68" s="26"/>
      <c r="G68" s="22"/>
      <c r="H68" s="26"/>
      <c r="J68" s="2" t="s">
        <v>8</v>
      </c>
      <c r="K68" s="3">
        <f>(K65+K66)-K67</f>
        <v>47045.861986818985</v>
      </c>
      <c r="N68" s="17"/>
      <c r="O68" s="17"/>
      <c r="P68" s="30"/>
      <c r="Q68" s="30"/>
      <c r="R68" s="17"/>
      <c r="S68" s="17"/>
      <c r="T68" s="17"/>
    </row>
    <row r="69" spans="4:20" ht="17.25" thickBot="1" x14ac:dyDescent="0.35">
      <c r="F69" s="26"/>
      <c r="G69" s="22"/>
      <c r="H69" s="26"/>
      <c r="J69" s="6" t="s">
        <v>11</v>
      </c>
      <c r="K69" s="11">
        <f>K68</f>
        <v>47045.861986818985</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35504.688529187501</v>
      </c>
      <c r="N78" s="17"/>
      <c r="O78" s="17"/>
      <c r="P78" s="17"/>
      <c r="Q78" s="17"/>
      <c r="R78" s="17"/>
      <c r="S78" s="17"/>
      <c r="T78" s="17"/>
    </row>
    <row r="79" spans="4:20" ht="16.5" x14ac:dyDescent="0.3">
      <c r="J79" s="19" t="s">
        <v>14</v>
      </c>
      <c r="K79" s="3">
        <f>C54*G35*C30</f>
        <v>28465.303514505853</v>
      </c>
      <c r="N79" s="17"/>
      <c r="O79" s="17"/>
      <c r="P79" s="17"/>
      <c r="Q79" s="17"/>
      <c r="R79" s="17"/>
      <c r="S79" s="17"/>
      <c r="T79" s="17"/>
    </row>
    <row r="80" spans="4:20" ht="16.5" x14ac:dyDescent="0.3">
      <c r="J80" s="19" t="s">
        <v>15</v>
      </c>
      <c r="K80" s="3">
        <f>K78-K79</f>
        <v>7039.3850146816476</v>
      </c>
      <c r="N80" s="17"/>
      <c r="O80" s="17"/>
      <c r="P80" s="17"/>
      <c r="Q80" s="17"/>
      <c r="R80" s="17"/>
      <c r="S80" s="17"/>
      <c r="T80" s="17"/>
    </row>
    <row r="81" spans="10:20" ht="17.25" thickBot="1" x14ac:dyDescent="0.35">
      <c r="J81" s="21" t="s">
        <v>16</v>
      </c>
      <c r="K81" s="11">
        <f>K78-K79</f>
        <v>7039.3850146816476</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workbookViewId="0">
      <selection activeCell="L13" sqref="L13"/>
    </sheetView>
  </sheetViews>
  <sheetFormatPr defaultRowHeight="15" x14ac:dyDescent="0.3"/>
  <cols>
    <col min="1" max="1" width="15.125" style="66" customWidth="1"/>
    <col min="2" max="2" width="11.5" style="66" customWidth="1"/>
    <col min="3" max="3" width="11.625" style="66" customWidth="1"/>
    <col min="4" max="4" width="12.25" style="66" customWidth="1"/>
    <col min="5" max="5" width="14" style="66" customWidth="1"/>
    <col min="6" max="6" width="11.625" style="66" customWidth="1"/>
    <col min="7" max="10" width="11.75" style="66" customWidth="1"/>
    <col min="11" max="16384" width="9" style="62"/>
  </cols>
  <sheetData>
    <row r="1" spans="1:10" ht="31.5" x14ac:dyDescent="0.3">
      <c r="B1" s="73" t="s">
        <v>147</v>
      </c>
      <c r="C1" s="73" t="s">
        <v>149</v>
      </c>
      <c r="D1" s="65" t="s">
        <v>153</v>
      </c>
      <c r="E1" s="65" t="s">
        <v>146</v>
      </c>
      <c r="F1" s="73" t="s">
        <v>152</v>
      </c>
      <c r="G1" s="73" t="s">
        <v>145</v>
      </c>
      <c r="H1" s="73" t="s">
        <v>144</v>
      </c>
      <c r="I1" s="73" t="s">
        <v>143</v>
      </c>
      <c r="J1" s="73"/>
    </row>
    <row r="2" spans="1:10" x14ac:dyDescent="0.3">
      <c r="A2" s="63" t="s">
        <v>142</v>
      </c>
      <c r="B2" s="70">
        <f>SUM(Rehoboth!C16:C19,Rehoboth!C22:C30)</f>
        <v>14910.143026269147</v>
      </c>
      <c r="C2" s="74">
        <v>15022.3</v>
      </c>
      <c r="D2" s="70">
        <f>Rehoboth!C13*10000</f>
        <v>36899238.940659374</v>
      </c>
      <c r="E2" s="69">
        <f>C2*10000/D2</f>
        <v>4.0711679783310881</v>
      </c>
      <c r="F2" s="71">
        <f>Rehoboth!N17</f>
        <v>110192.74312644577</v>
      </c>
      <c r="G2" s="67">
        <f t="shared" ref="G2:G26" si="0">F2/C2</f>
        <v>7.3352777621566458</v>
      </c>
      <c r="H2" s="67">
        <f t="shared" ref="H2:H26" si="1">F2*1000/D2</f>
        <v>2.9863147937456258</v>
      </c>
      <c r="I2" s="68">
        <f t="shared" ref="I2:I26" si="2">F2*1000000/(D2*365*14.007)</f>
        <v>0.58411396918871794</v>
      </c>
      <c r="J2" s="67"/>
    </row>
    <row r="3" spans="1:10" x14ac:dyDescent="0.3">
      <c r="A3" s="72" t="s">
        <v>141</v>
      </c>
      <c r="B3" s="70">
        <f>SUM('Indian River'!C16:C19,'Indian River'!C22:C30)</f>
        <v>42675.815905794567</v>
      </c>
      <c r="C3" s="74">
        <v>43019.7</v>
      </c>
      <c r="D3" s="70">
        <f>'Indian River'!C13*10000</f>
        <v>40132526.309601143</v>
      </c>
      <c r="E3" s="69">
        <f t="shared" ref="E3:E26" si="3">C3*10000/D3</f>
        <v>10.719409904107668</v>
      </c>
      <c r="F3" s="71">
        <f>'Indian River'!N17</f>
        <v>279452.83099396725</v>
      </c>
      <c r="G3" s="67">
        <f t="shared" si="0"/>
        <v>6.4959270053944413</v>
      </c>
      <c r="H3" s="67">
        <f t="shared" si="1"/>
        <v>6.9632504277985632</v>
      </c>
      <c r="I3" s="68">
        <f t="shared" si="2"/>
        <v>1.3619903214339137</v>
      </c>
      <c r="J3" s="67"/>
    </row>
    <row r="4" spans="1:10" x14ac:dyDescent="0.3">
      <c r="A4" s="63" t="s">
        <v>140</v>
      </c>
      <c r="B4" s="70">
        <f>SUM('Little Assawoman'!C16:C19,'Little Assawoman'!C22:C30)</f>
        <v>7819.4820759068871</v>
      </c>
      <c r="C4" s="74">
        <v>8652.94</v>
      </c>
      <c r="D4" s="70">
        <f>'Little Assawoman'!C13*10000</f>
        <v>10159200.084557405</v>
      </c>
      <c r="E4" s="69">
        <f t="shared" si="3"/>
        <v>8.5173438144534526</v>
      </c>
      <c r="F4" s="71">
        <f>'Little Assawoman'!N17</f>
        <v>52605.317817918316</v>
      </c>
      <c r="G4" s="67">
        <f t="shared" si="0"/>
        <v>6.0794733140317989</v>
      </c>
      <c r="H4" s="67">
        <f t="shared" si="1"/>
        <v>5.1780964426403573</v>
      </c>
      <c r="I4" s="68">
        <f t="shared" si="2"/>
        <v>1.0128197041675557</v>
      </c>
      <c r="J4" s="67"/>
    </row>
    <row r="5" spans="1:10" x14ac:dyDescent="0.3">
      <c r="A5" s="64" t="s">
        <v>139</v>
      </c>
      <c r="B5" s="70">
        <f>SUM(Assawoman!C16:C19,Assawoman!C22:C30)</f>
        <v>4440.420000000001</v>
      </c>
      <c r="C5" s="74">
        <v>4573.7</v>
      </c>
      <c r="D5" s="70">
        <f>Assawoman!C13*10000</f>
        <v>25238753.702643413</v>
      </c>
      <c r="E5" s="69">
        <f t="shared" si="3"/>
        <v>1.8121734749212153</v>
      </c>
      <c r="F5" s="71">
        <f>Assawoman!N17</f>
        <v>40803.386038522644</v>
      </c>
      <c r="G5" s="67">
        <f t="shared" si="0"/>
        <v>8.9213079210535557</v>
      </c>
      <c r="H5" s="67">
        <f t="shared" si="1"/>
        <v>1.6166957576137784</v>
      </c>
      <c r="I5" s="68">
        <f t="shared" si="2"/>
        <v>0.31622070718335121</v>
      </c>
      <c r="J5" s="67"/>
    </row>
    <row r="6" spans="1:10" x14ac:dyDescent="0.3">
      <c r="A6" s="64" t="s">
        <v>138</v>
      </c>
      <c r="B6" s="70">
        <f>SUM('St. Martins'!C16:C19,'St. Martins'!C22:C30)</f>
        <v>11367.971555966584</v>
      </c>
      <c r="C6" s="74">
        <v>11367.8</v>
      </c>
      <c r="D6" s="70">
        <f>'St. Martins'!C13*10000</f>
        <v>8140250.4476410011</v>
      </c>
      <c r="E6" s="69">
        <f t="shared" si="3"/>
        <v>13.964926599149447</v>
      </c>
      <c r="F6" s="71">
        <f>'St. Martins'!N17</f>
        <v>74796.246894072916</v>
      </c>
      <c r="G6" s="67">
        <f t="shared" si="0"/>
        <v>6.5796589396429317</v>
      </c>
      <c r="H6" s="67">
        <f t="shared" si="1"/>
        <v>9.1884454139551011</v>
      </c>
      <c r="I6" s="68">
        <f t="shared" si="2"/>
        <v>1.7972316021940304</v>
      </c>
      <c r="J6" s="67"/>
    </row>
    <row r="7" spans="1:10" x14ac:dyDescent="0.3">
      <c r="A7" s="64" t="s">
        <v>137</v>
      </c>
      <c r="B7" s="70">
        <f>SUM(Turville!C16:C19,Turville!C22:C30)</f>
        <v>3992.6761660331404</v>
      </c>
      <c r="C7" s="74">
        <v>4261.4799999999996</v>
      </c>
      <c r="D7" s="70">
        <f>Turville!C13*10000</f>
        <v>4103196</v>
      </c>
      <c r="E7" s="69">
        <f t="shared" si="3"/>
        <v>10.38575783364967</v>
      </c>
      <c r="F7" s="71">
        <f>Turville!N17</f>
        <v>20998.269726537244</v>
      </c>
      <c r="G7" s="67">
        <f t="shared" si="0"/>
        <v>4.9274594100024514</v>
      </c>
      <c r="H7" s="67">
        <f t="shared" si="1"/>
        <v>5.1175400167423755</v>
      </c>
      <c r="I7" s="68">
        <f t="shared" si="2"/>
        <v>1.0009750539099089</v>
      </c>
      <c r="J7" s="67"/>
    </row>
    <row r="8" spans="1:10" x14ac:dyDescent="0.3">
      <c r="A8" s="64" t="s">
        <v>136</v>
      </c>
      <c r="B8" s="70">
        <f>SUM('Isle of Wight'!C16:C19,'Isle of Wight'!C22:C30)</f>
        <v>694.80107300624036</v>
      </c>
      <c r="C8" s="74">
        <v>607.71799999999996</v>
      </c>
      <c r="D8" s="70">
        <f>'Isle of Wight'!C13*10000</f>
        <v>17317950.035361957</v>
      </c>
      <c r="E8" s="69">
        <f t="shared" si="3"/>
        <v>0.35091797745061359</v>
      </c>
      <c r="F8" s="71">
        <f>'Isle of Wight'!N17</f>
        <v>37991.641214928197</v>
      </c>
      <c r="G8" s="67">
        <f t="shared" si="0"/>
        <v>62.515247557137023</v>
      </c>
      <c r="H8" s="67">
        <f t="shared" si="1"/>
        <v>2.1937724232574936</v>
      </c>
      <c r="I8" s="68">
        <f t="shared" si="2"/>
        <v>0.42909512430819696</v>
      </c>
      <c r="J8" s="67"/>
    </row>
    <row r="9" spans="1:10" x14ac:dyDescent="0.3">
      <c r="A9" s="64" t="s">
        <v>135</v>
      </c>
      <c r="B9" s="70">
        <f>SUM(Sinepuxent!C16:C19,Sinepuxent!C22:C30)</f>
        <v>2175.7533600940233</v>
      </c>
      <c r="C9" s="74">
        <v>2644.96</v>
      </c>
      <c r="D9" s="70">
        <f>Sinepuxent!C13*10000</f>
        <v>23673209.327687033</v>
      </c>
      <c r="E9" s="69">
        <f t="shared" si="3"/>
        <v>1.1172798598568483</v>
      </c>
      <c r="F9" s="71">
        <f>Sinepuxent!N17</f>
        <v>24280.68249339411</v>
      </c>
      <c r="G9" s="67">
        <f t="shared" si="0"/>
        <v>9.1799809802016323</v>
      </c>
      <c r="H9" s="67">
        <f t="shared" si="1"/>
        <v>1.0256607863048213</v>
      </c>
      <c r="I9" s="68">
        <f t="shared" si="2"/>
        <v>0.20061608849290058</v>
      </c>
      <c r="J9" s="67"/>
    </row>
    <row r="10" spans="1:10" x14ac:dyDescent="0.3">
      <c r="A10" s="64" t="s">
        <v>134</v>
      </c>
      <c r="B10" s="70">
        <f>SUM(Newport!C16:C19,Newport!C22:C30)</f>
        <v>10127.355640038888</v>
      </c>
      <c r="C10" s="74">
        <v>11696.5</v>
      </c>
      <c r="D10" s="70">
        <f>Newport!C13*10000</f>
        <v>14312227</v>
      </c>
      <c r="E10" s="69">
        <f t="shared" si="3"/>
        <v>8.1723829561954258</v>
      </c>
      <c r="F10" s="71">
        <f>Newport!N17</f>
        <v>60105.458378218609</v>
      </c>
      <c r="G10" s="67">
        <f t="shared" si="0"/>
        <v>5.1387558994757923</v>
      </c>
      <c r="H10" s="67">
        <f t="shared" si="1"/>
        <v>4.1995881128924664</v>
      </c>
      <c r="I10" s="68">
        <f t="shared" si="2"/>
        <v>0.8214264908431238</v>
      </c>
      <c r="J10" s="67"/>
    </row>
    <row r="11" spans="1:10" x14ac:dyDescent="0.3">
      <c r="A11" s="64" t="s">
        <v>133</v>
      </c>
      <c r="B11" s="70">
        <f>SUM(Chincoteague!C16:C19,Chincoteague!C22:C30)</f>
        <v>16913.186119640508</v>
      </c>
      <c r="C11" s="74">
        <v>19181.900000000001</v>
      </c>
      <c r="D11" s="70">
        <f>Chincoteague!C13*10000</f>
        <v>258646441.15103447</v>
      </c>
      <c r="E11" s="69">
        <f t="shared" si="3"/>
        <v>0.74162628778637962</v>
      </c>
      <c r="F11" s="71">
        <f>Chincoteague!N17</f>
        <v>263771.27100825589</v>
      </c>
      <c r="G11" s="67">
        <f t="shared" si="0"/>
        <v>13.751050261353457</v>
      </c>
      <c r="H11" s="67">
        <f t="shared" si="1"/>
        <v>1.019814035849149</v>
      </c>
      <c r="I11" s="68">
        <f t="shared" si="2"/>
        <v>0.19947248212472024</v>
      </c>
      <c r="J11" s="67"/>
    </row>
    <row r="12" spans="1:10" x14ac:dyDescent="0.3">
      <c r="A12" s="64" t="s">
        <v>148</v>
      </c>
      <c r="B12" s="70">
        <f>SUM(Mosquito!C16:C19,Mosquito!C22:C30)</f>
        <v>3981.9661494932761</v>
      </c>
      <c r="C12" s="74">
        <v>4044.33</v>
      </c>
      <c r="D12" s="70">
        <f>Mosquito!C13*10000</f>
        <v>0</v>
      </c>
      <c r="E12" s="69" t="e">
        <f t="shared" si="3"/>
        <v>#DIV/0!</v>
      </c>
      <c r="F12" s="71">
        <f>Mosquito!N17</f>
        <v>27608.671390461586</v>
      </c>
      <c r="G12" s="67">
        <f t="shared" si="0"/>
        <v>6.8265130171033492</v>
      </c>
      <c r="H12" s="67" t="e">
        <f t="shared" si="1"/>
        <v>#DIV/0!</v>
      </c>
      <c r="I12" s="68" t="e">
        <f t="shared" si="2"/>
        <v>#DIV/0!</v>
      </c>
      <c r="J12" s="67"/>
    </row>
    <row r="13" spans="1:10" x14ac:dyDescent="0.3">
      <c r="A13" s="64" t="s">
        <v>132</v>
      </c>
      <c r="B13" s="70">
        <f>SUM(Simoneaston!C16:C19,Simoneaston!C22:C30)</f>
        <v>235.89036429395804</v>
      </c>
      <c r="C13" s="74">
        <v>421.64400000000001</v>
      </c>
      <c r="D13" s="70">
        <f>Simoneaston!C13*10000</f>
        <v>1000537.4041458301</v>
      </c>
      <c r="E13" s="69">
        <f t="shared" si="3"/>
        <v>4.2141752847307314</v>
      </c>
      <c r="F13" s="71">
        <f>Simoneaston!N17</f>
        <v>1512.2733409140587</v>
      </c>
      <c r="G13" s="67">
        <f t="shared" si="0"/>
        <v>3.586611788414062</v>
      </c>
      <c r="H13" s="67">
        <f t="shared" si="1"/>
        <v>1.5114610754658426</v>
      </c>
      <c r="I13" s="68">
        <f t="shared" si="2"/>
        <v>0.29563712771126033</v>
      </c>
      <c r="J13" s="67"/>
    </row>
    <row r="14" spans="1:10" x14ac:dyDescent="0.3">
      <c r="A14" s="64" t="s">
        <v>131</v>
      </c>
      <c r="B14" s="70">
        <f>SUM(Bogues!C16:C19,Bogues!C22:C30)</f>
        <v>1600.2</v>
      </c>
      <c r="C14" s="74">
        <v>1609.46</v>
      </c>
      <c r="D14" s="70">
        <f>Bogues!C13*10000</f>
        <v>8827311.138833493</v>
      </c>
      <c r="E14" s="69">
        <f t="shared" si="3"/>
        <v>1.8232732195420112</v>
      </c>
      <c r="F14" s="71">
        <f>Bogues!N17</f>
        <v>18859.753682690171</v>
      </c>
      <c r="G14" s="67">
        <f t="shared" si="0"/>
        <v>11.718063004169206</v>
      </c>
      <c r="H14" s="67">
        <f t="shared" si="1"/>
        <v>2.136523046040772</v>
      </c>
      <c r="I14" s="68">
        <f t="shared" si="2"/>
        <v>0.41789732257956586</v>
      </c>
      <c r="J14" s="67"/>
    </row>
    <row r="15" spans="1:10" x14ac:dyDescent="0.3">
      <c r="A15" s="64" t="s">
        <v>130</v>
      </c>
      <c r="B15" s="70">
        <f>SUM('Oyster-Womans'!C16:C19,'Oyster-Womans'!C22:C30)</f>
        <v>2992.2346210153464</v>
      </c>
      <c r="C15" s="74">
        <v>3046.64</v>
      </c>
      <c r="D15" s="70">
        <f>'Oyster-Womans'!C13*10000</f>
        <v>908297.93257710524</v>
      </c>
      <c r="E15" s="69">
        <f t="shared" si="3"/>
        <v>33.542298080056142</v>
      </c>
      <c r="F15" s="71">
        <f>'Oyster-Womans'!N17</f>
        <v>110223.02755275952</v>
      </c>
      <c r="G15" s="67">
        <f t="shared" si="0"/>
        <v>36.178553275989131</v>
      </c>
      <c r="H15" s="67">
        <f t="shared" si="1"/>
        <v>121.35118180884191</v>
      </c>
      <c r="I15" s="68">
        <f t="shared" si="2"/>
        <v>23.735917131227325</v>
      </c>
      <c r="J15" s="67"/>
    </row>
    <row r="16" spans="1:10" x14ac:dyDescent="0.3">
      <c r="A16" s="64" t="s">
        <v>129</v>
      </c>
      <c r="B16" s="70">
        <f>SUM(Kegotank!C16:C19,Kegotank!C22:C30)</f>
        <v>1254.5119373878215</v>
      </c>
      <c r="C16" s="74">
        <v>1298.3699999999999</v>
      </c>
      <c r="D16" s="70">
        <f>Kegotank!C13*10000</f>
        <v>2126772.954141824</v>
      </c>
      <c r="E16" s="69">
        <f t="shared" si="3"/>
        <v>6.1048829752675982</v>
      </c>
      <c r="F16" s="71">
        <f>Kegotank!N17</f>
        <v>12763.502199114144</v>
      </c>
      <c r="G16" s="67">
        <f t="shared" si="0"/>
        <v>9.8304044294878548</v>
      </c>
      <c r="H16" s="67">
        <f t="shared" si="1"/>
        <v>6.0013468641575587</v>
      </c>
      <c r="I16" s="68">
        <f t="shared" si="2"/>
        <v>1.1738449491805094</v>
      </c>
      <c r="J16" s="67"/>
    </row>
    <row r="17" spans="1:10" x14ac:dyDescent="0.3">
      <c r="A17" s="64" t="s">
        <v>128</v>
      </c>
      <c r="B17" s="70">
        <f>SUM(Gargathy!C16:C19,Gargathy!C22:C30)</f>
        <v>2761.2042642268721</v>
      </c>
      <c r="C17" s="74">
        <v>2797.71</v>
      </c>
      <c r="D17" s="70">
        <f>Gargathy!C13*10000</f>
        <v>1195494.4585450105</v>
      </c>
      <c r="E17" s="69">
        <f t="shared" si="3"/>
        <v>23.402116003155573</v>
      </c>
      <c r="F17" s="71">
        <f>Gargathy!N17</f>
        <v>23446.113842994928</v>
      </c>
      <c r="G17" s="67">
        <f t="shared" si="0"/>
        <v>8.3804661108531366</v>
      </c>
      <c r="H17" s="67">
        <f t="shared" si="1"/>
        <v>19.612064008669915</v>
      </c>
      <c r="I17" s="68">
        <f t="shared" si="2"/>
        <v>3.8360592714738351</v>
      </c>
      <c r="J17" s="67"/>
    </row>
    <row r="18" spans="1:10" x14ac:dyDescent="0.3">
      <c r="A18" s="64" t="s">
        <v>127</v>
      </c>
      <c r="B18" s="70">
        <f>SUM(Metompkin!C16:C19,Metompkin!C22:C30)</f>
        <v>3830.9459162673102</v>
      </c>
      <c r="C18" s="74">
        <v>3856.57</v>
      </c>
      <c r="D18" s="70">
        <f>Metompkin!C13*10000</f>
        <v>12565921.832454201</v>
      </c>
      <c r="E18" s="69">
        <f t="shared" si="3"/>
        <v>3.0690704998972516</v>
      </c>
      <c r="F18" s="71">
        <f>Metompkin!N17</f>
        <v>274516.11243645457</v>
      </c>
      <c r="G18" s="67">
        <f t="shared" si="0"/>
        <v>71.181415723416023</v>
      </c>
      <c r="H18" s="67">
        <f t="shared" si="1"/>
        <v>21.846078313765855</v>
      </c>
      <c r="I18" s="68">
        <f t="shared" si="2"/>
        <v>4.2730255838354507</v>
      </c>
      <c r="J18" s="67"/>
    </row>
    <row r="19" spans="1:10" x14ac:dyDescent="0.3">
      <c r="A19" s="64" t="s">
        <v>126</v>
      </c>
      <c r="B19" s="70">
        <f>SUM('North Burtons'!C16:C19,'North Burtons'!C22:C30)</f>
        <v>2639.0740756168375</v>
      </c>
      <c r="C19" s="74">
        <v>2716.01</v>
      </c>
      <c r="D19" s="70">
        <f>'North Burtons'!C13*10000</f>
        <v>0</v>
      </c>
      <c r="E19" s="69" t="e">
        <f t="shared" si="3"/>
        <v>#DIV/0!</v>
      </c>
      <c r="F19" s="71">
        <f>'North Burtons'!N17</f>
        <v>19188.080630567896</v>
      </c>
      <c r="G19" s="67">
        <f t="shared" si="0"/>
        <v>7.0648048536521939</v>
      </c>
      <c r="H19" s="67" t="e">
        <f t="shared" si="1"/>
        <v>#DIV/0!</v>
      </c>
      <c r="I19" s="68" t="e">
        <f t="shared" si="2"/>
        <v>#DIV/0!</v>
      </c>
      <c r="J19" s="67"/>
    </row>
    <row r="20" spans="1:10" x14ac:dyDescent="0.3">
      <c r="A20" s="64" t="s">
        <v>125</v>
      </c>
      <c r="B20" s="70">
        <f>SUM(Burtons!C16:C19,Burtons!C22:C30)</f>
        <v>5670.728757509999</v>
      </c>
      <c r="C20" s="74">
        <v>6067.12</v>
      </c>
      <c r="D20" s="70">
        <f>Burtons!C13*10000</f>
        <v>16617865.036725558</v>
      </c>
      <c r="E20" s="69">
        <f t="shared" si="3"/>
        <v>3.6509623748848825</v>
      </c>
      <c r="F20" s="71">
        <f>Burtons!N17</f>
        <v>49535.950012102658</v>
      </c>
      <c r="G20" s="67">
        <f t="shared" si="0"/>
        <v>8.1646563793204443</v>
      </c>
      <c r="H20" s="67">
        <f t="shared" si="1"/>
        <v>2.9808853244762776</v>
      </c>
      <c r="I20" s="68">
        <f t="shared" si="2"/>
        <v>0.58305198173443173</v>
      </c>
      <c r="J20" s="67"/>
    </row>
    <row r="21" spans="1:10" x14ac:dyDescent="0.3">
      <c r="A21" s="64" t="s">
        <v>124</v>
      </c>
      <c r="B21" s="70">
        <f>SUM(Bradford!C16:C19,Bradford!C22:C30)</f>
        <v>403.74062351113912</v>
      </c>
      <c r="C21" s="74">
        <v>422.11</v>
      </c>
      <c r="D21" s="70">
        <f>Bradford!C13*10000</f>
        <v>6536507.2178327572</v>
      </c>
      <c r="E21" s="69">
        <f t="shared" si="3"/>
        <v>0.6457730190343991</v>
      </c>
      <c r="F21" s="71">
        <f>Bradford!N17</f>
        <v>6574.7025739004694</v>
      </c>
      <c r="G21" s="67">
        <f t="shared" si="0"/>
        <v>15.575803875531186</v>
      </c>
      <c r="H21" s="67">
        <f t="shared" si="1"/>
        <v>1.0058433892589469</v>
      </c>
      <c r="I21" s="68">
        <f t="shared" si="2"/>
        <v>0.19673986671223034</v>
      </c>
      <c r="J21" s="67"/>
    </row>
    <row r="22" spans="1:10" x14ac:dyDescent="0.3">
      <c r="A22" s="64" t="s">
        <v>123</v>
      </c>
      <c r="B22" s="70">
        <f>SUM(Upshur!C16:C19,Upshur!C22:C30)</f>
        <v>275.67042572773494</v>
      </c>
      <c r="C22" s="74">
        <v>284.94099999999997</v>
      </c>
      <c r="D22" s="70">
        <f>Upshur!C13*10000</f>
        <v>15440204.623192303</v>
      </c>
      <c r="E22" s="69">
        <f t="shared" si="3"/>
        <v>0.18454483405744376</v>
      </c>
      <c r="F22" s="71">
        <f>Upshur!N17</f>
        <v>10900.713040400948</v>
      </c>
      <c r="G22" s="67">
        <f t="shared" si="0"/>
        <v>38.256035601759486</v>
      </c>
      <c r="H22" s="67">
        <f t="shared" si="1"/>
        <v>0.70599537418223657</v>
      </c>
      <c r="I22" s="68">
        <f t="shared" si="2"/>
        <v>0.13809051915964454</v>
      </c>
      <c r="J22" s="67"/>
    </row>
    <row r="23" spans="1:10" x14ac:dyDescent="0.3">
      <c r="A23" s="64" t="s">
        <v>122</v>
      </c>
      <c r="B23" s="70">
        <f>SUM('Hog Island'!C16:C19,'Hog Island'!C22:C30)</f>
        <v>11248.747694949168</v>
      </c>
      <c r="C23" s="74">
        <v>12214.9</v>
      </c>
      <c r="D23" s="70">
        <f>'Hog Island'!C13*10000</f>
        <v>102287785.21245882</v>
      </c>
      <c r="E23" s="69">
        <f t="shared" si="3"/>
        <v>1.1941699563275132</v>
      </c>
      <c r="F23" s="71">
        <f>'Hog Island'!N17</f>
        <v>119862.49985670723</v>
      </c>
      <c r="G23" s="67">
        <f t="shared" si="0"/>
        <v>9.8128105720642189</v>
      </c>
      <c r="H23" s="67">
        <f t="shared" si="1"/>
        <v>1.1718163572292088</v>
      </c>
      <c r="I23" s="68">
        <f t="shared" si="2"/>
        <v>0.22920366768263792</v>
      </c>
      <c r="J23" s="67"/>
    </row>
    <row r="24" spans="1:10" x14ac:dyDescent="0.3">
      <c r="A24" s="64" t="s">
        <v>121</v>
      </c>
      <c r="B24" s="70">
        <f>SUM(Ramshorn!C16:C19,Ramshorn!C22:C30)</f>
        <v>3629.2500000000005</v>
      </c>
      <c r="C24" s="74">
        <v>3635.78</v>
      </c>
      <c r="D24" s="70">
        <f>Ramshorn!C13*10000</f>
        <v>20184220.958237041</v>
      </c>
      <c r="E24" s="69">
        <f t="shared" si="3"/>
        <v>1.8012981563780708</v>
      </c>
      <c r="F24" s="71">
        <f>Ramshorn!N17</f>
        <v>43047.431632606502</v>
      </c>
      <c r="G24" s="67">
        <f t="shared" si="0"/>
        <v>11.839944009980389</v>
      </c>
      <c r="H24" s="67">
        <f t="shared" si="1"/>
        <v>2.1327269316797257</v>
      </c>
      <c r="I24" s="68">
        <f t="shared" si="2"/>
        <v>0.41715481431099044</v>
      </c>
      <c r="J24" s="67"/>
    </row>
    <row r="25" spans="1:10" x14ac:dyDescent="0.3">
      <c r="A25" s="64" t="s">
        <v>120</v>
      </c>
      <c r="B25" s="70">
        <f>SUM(Mockhorn!C16:C19,Mockhorn!C22:C30)</f>
        <v>2711.2660877320213</v>
      </c>
      <c r="C25" s="74">
        <v>2790.66</v>
      </c>
      <c r="D25" s="70">
        <f>Mockhorn!C13*10000</f>
        <v>15972723.708250642</v>
      </c>
      <c r="E25" s="69">
        <f t="shared" si="3"/>
        <v>1.7471409704272896</v>
      </c>
      <c r="F25" s="71">
        <f>Mockhorn!N17</f>
        <v>32638.630518293692</v>
      </c>
      <c r="G25" s="67">
        <f t="shared" si="0"/>
        <v>11.695667160561907</v>
      </c>
      <c r="H25" s="67">
        <f t="shared" si="1"/>
        <v>2.0433979272698712</v>
      </c>
      <c r="I25" s="68">
        <f t="shared" si="2"/>
        <v>0.39968233637973016</v>
      </c>
      <c r="J25" s="67"/>
    </row>
    <row r="26" spans="1:10" x14ac:dyDescent="0.3">
      <c r="A26" s="64" t="s">
        <v>119</v>
      </c>
      <c r="B26" s="70">
        <f>SUM(Magothy!C16:C19,Magothy!C22:C30)</f>
        <v>2682.8671100215233</v>
      </c>
      <c r="C26" s="74">
        <v>2848.28</v>
      </c>
      <c r="D26" s="70">
        <f>Magothy!C13*10000</f>
        <v>24298461.980307151</v>
      </c>
      <c r="E26" s="69">
        <f t="shared" si="3"/>
        <v>1.1722058796595471</v>
      </c>
      <c r="F26" s="71">
        <f>Magothy!N17</f>
        <v>34471.884095822745</v>
      </c>
      <c r="G26" s="67">
        <f t="shared" si="0"/>
        <v>12.102702015189076</v>
      </c>
      <c r="H26" s="67">
        <f t="shared" si="1"/>
        <v>1.4186858461972083</v>
      </c>
      <c r="I26" s="68">
        <f t="shared" si="2"/>
        <v>0.2774905788196329</v>
      </c>
      <c r="J26" s="67"/>
    </row>
    <row r="28" spans="1:10" x14ac:dyDescent="0.3">
      <c r="B28" s="71"/>
    </row>
    <row r="29" spans="1:10" x14ac:dyDescent="0.3">
      <c r="B29" s="71"/>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W88"/>
  <sheetViews>
    <sheetView zoomScaleNormal="100" workbookViewId="0"/>
  </sheetViews>
  <sheetFormatPr defaultColWidth="9" defaultRowHeight="15" x14ac:dyDescent="0.3"/>
  <cols>
    <col min="1" max="1" width="9" style="1"/>
    <col min="2" max="2" width="36.375" style="1" bestFit="1" customWidth="1"/>
    <col min="3" max="3" width="10.75" style="1" customWidth="1"/>
    <col min="4" max="4" width="11.25" style="1" bestFit="1" customWidth="1"/>
    <col min="5" max="5" width="13.25" style="1" customWidth="1"/>
    <col min="6" max="7" width="9" style="1"/>
    <col min="8" max="8" width="35.625" style="1" customWidth="1"/>
    <col min="9" max="9" width="9.25" style="1" bestFit="1" customWidth="1"/>
    <col min="10" max="11" width="9" style="1"/>
    <col min="12" max="12" width="27.625" style="1" customWidth="1"/>
    <col min="13" max="13" width="9.25" style="1" bestFit="1" customWidth="1"/>
    <col min="14" max="15" width="9" style="1"/>
    <col min="16" max="16" width="40.125" style="1" customWidth="1"/>
    <col min="17" max="17" width="9.125" style="1" bestFit="1" customWidth="1"/>
    <col min="18" max="18" width="9" style="1"/>
    <col min="19" max="19" width="40" style="1" bestFit="1" customWidth="1"/>
    <col min="20" max="20" width="9" style="1"/>
    <col min="21" max="21" width="17.75" style="1" bestFit="1" customWidth="1"/>
    <col min="22" max="22" width="10.5" style="1" bestFit="1" customWidth="1"/>
    <col min="23" max="16384" width="9" style="1"/>
  </cols>
  <sheetData>
    <row r="2" spans="1:17" s="38" customFormat="1" ht="22.5" x14ac:dyDescent="0.45">
      <c r="B2" s="37" t="s">
        <v>116</v>
      </c>
      <c r="C2" s="37"/>
      <c r="D2" s="37"/>
    </row>
    <row r="3" spans="1:17" ht="42.75" customHeight="1" x14ac:dyDescent="0.4">
      <c r="B3" s="101" t="s">
        <v>187</v>
      </c>
      <c r="C3" s="101"/>
      <c r="D3" s="101"/>
      <c r="E3" s="101"/>
      <c r="F3" s="101"/>
      <c r="G3" s="101"/>
      <c r="H3" s="101"/>
      <c r="I3" s="101"/>
      <c r="J3" s="101"/>
      <c r="K3" s="101"/>
    </row>
    <row r="5" spans="1:17" x14ac:dyDescent="0.3">
      <c r="P5" s="22"/>
      <c r="Q5" s="22"/>
    </row>
    <row r="6" spans="1:17" ht="16.5" x14ac:dyDescent="0.35">
      <c r="B6" s="107" t="s">
        <v>192</v>
      </c>
      <c r="C6" s="107"/>
      <c r="D6" s="107"/>
      <c r="E6" s="107"/>
      <c r="H6" s="107" t="s">
        <v>0</v>
      </c>
      <c r="I6" s="107"/>
      <c r="L6" s="107" t="s">
        <v>60</v>
      </c>
      <c r="M6" s="107"/>
      <c r="P6" s="107" t="s">
        <v>26</v>
      </c>
      <c r="Q6" s="107"/>
    </row>
    <row r="7" spans="1:17" ht="15.75" thickBot="1" x14ac:dyDescent="0.35"/>
    <row r="8" spans="1:17" ht="16.5" x14ac:dyDescent="0.3">
      <c r="B8" s="4" t="s">
        <v>55</v>
      </c>
      <c r="C8" s="83"/>
      <c r="D8" s="116" t="s">
        <v>173</v>
      </c>
      <c r="E8" s="103"/>
      <c r="H8" s="4" t="s">
        <v>50</v>
      </c>
      <c r="I8" s="5"/>
      <c r="L8" s="104" t="s">
        <v>49</v>
      </c>
      <c r="M8" s="103"/>
      <c r="P8" s="16" t="s">
        <v>12</v>
      </c>
      <c r="Q8" s="16">
        <f>(M9+M10+(M11*(1-E60))+M12+M13+M16+M17+M21)*I41*I42</f>
        <v>0</v>
      </c>
    </row>
    <row r="9" spans="1:17" ht="16.5" x14ac:dyDescent="0.3">
      <c r="B9" s="40" t="s">
        <v>182</v>
      </c>
      <c r="C9" s="88"/>
      <c r="D9" s="85" t="s">
        <v>175</v>
      </c>
      <c r="E9" s="9">
        <f>C9*0.453592/0.404686</f>
        <v>0</v>
      </c>
      <c r="H9" s="40" t="s">
        <v>47</v>
      </c>
      <c r="I9" s="8">
        <v>0.35</v>
      </c>
      <c r="L9" s="40" t="s">
        <v>62</v>
      </c>
      <c r="M9" s="3">
        <f>SUM(E24:E32)*E9*I11</f>
        <v>0</v>
      </c>
    </row>
    <row r="10" spans="1:17" ht="16.5" x14ac:dyDescent="0.3">
      <c r="A10" s="32" t="s">
        <v>24</v>
      </c>
      <c r="B10" s="40" t="s">
        <v>183</v>
      </c>
      <c r="C10" s="88"/>
      <c r="D10" s="85" t="s">
        <v>177</v>
      </c>
      <c r="E10" s="9">
        <f>C10*0.453592</f>
        <v>0</v>
      </c>
      <c r="H10" s="40" t="s">
        <v>69</v>
      </c>
      <c r="I10" s="8">
        <v>0.38</v>
      </c>
      <c r="L10" s="40" t="s">
        <v>63</v>
      </c>
      <c r="M10" s="3">
        <f>E18*E9*I10</f>
        <v>0</v>
      </c>
      <c r="P10" s="47" t="s">
        <v>158</v>
      </c>
      <c r="Q10" s="16">
        <f>(E11*I15*I39*I40*I42)+(M24*I41*I42)</f>
        <v>0</v>
      </c>
    </row>
    <row r="11" spans="1:17" x14ac:dyDescent="0.3">
      <c r="B11" s="40" t="s">
        <v>163</v>
      </c>
      <c r="C11" s="88"/>
      <c r="D11" s="85" t="s">
        <v>176</v>
      </c>
      <c r="E11" s="3">
        <f>C11</f>
        <v>0</v>
      </c>
      <c r="H11" s="40" t="s">
        <v>70</v>
      </c>
      <c r="I11" s="8">
        <v>0.38</v>
      </c>
      <c r="L11" s="40" t="s">
        <v>64</v>
      </c>
      <c r="M11" s="3">
        <f>E19*E9</f>
        <v>0</v>
      </c>
      <c r="P11" s="18"/>
      <c r="Q11" s="18"/>
    </row>
    <row r="12" spans="1:17" ht="17.25" thickBot="1" x14ac:dyDescent="0.35">
      <c r="B12" s="40" t="s">
        <v>58</v>
      </c>
      <c r="C12" s="88"/>
      <c r="D12" s="85" t="s">
        <v>176</v>
      </c>
      <c r="E12" s="3">
        <f>C12</f>
        <v>0</v>
      </c>
      <c r="H12" s="39" t="s">
        <v>48</v>
      </c>
      <c r="I12" s="10">
        <v>0.38</v>
      </c>
      <c r="L12" s="40" t="s">
        <v>65</v>
      </c>
      <c r="M12" s="3">
        <f>E20*E9*I9</f>
        <v>0</v>
      </c>
      <c r="P12" s="47" t="s">
        <v>81</v>
      </c>
      <c r="Q12" s="16">
        <f>E10+(M11*E60)</f>
        <v>0</v>
      </c>
    </row>
    <row r="13" spans="1:17" ht="15.75" thickBot="1" x14ac:dyDescent="0.35">
      <c r="B13" s="40" t="s">
        <v>179</v>
      </c>
      <c r="C13" s="88"/>
      <c r="D13" s="85" t="s">
        <v>174</v>
      </c>
      <c r="E13" s="3">
        <f>C13*0.404686</f>
        <v>0</v>
      </c>
      <c r="L13" s="39" t="s">
        <v>66</v>
      </c>
      <c r="M13" s="11">
        <f>E21*E9*I12</f>
        <v>0</v>
      </c>
      <c r="P13" s="18"/>
      <c r="Q13" s="18"/>
    </row>
    <row r="14" spans="1:17" ht="17.25" thickBot="1" x14ac:dyDescent="0.35">
      <c r="B14" s="42" t="s">
        <v>184</v>
      </c>
      <c r="C14" s="89"/>
      <c r="D14" s="85" t="s">
        <v>175</v>
      </c>
      <c r="E14" s="9">
        <f>C14*0.453592/0.404686</f>
        <v>0</v>
      </c>
      <c r="H14" s="4" t="s">
        <v>59</v>
      </c>
      <c r="I14" s="5"/>
      <c r="L14" s="106"/>
      <c r="M14" s="106"/>
      <c r="P14" s="47" t="s">
        <v>82</v>
      </c>
      <c r="Q14" s="16">
        <f>E9*E13</f>
        <v>0</v>
      </c>
    </row>
    <row r="15" spans="1:17" ht="17.25" thickBot="1" x14ac:dyDescent="0.35">
      <c r="B15" s="43" t="s">
        <v>178</v>
      </c>
      <c r="C15" s="90"/>
      <c r="D15" s="86" t="s">
        <v>174</v>
      </c>
      <c r="E15" s="11">
        <f>C15*0.404686</f>
        <v>0</v>
      </c>
      <c r="H15" s="40" t="s">
        <v>71</v>
      </c>
      <c r="I15" s="9">
        <v>4.8</v>
      </c>
      <c r="L15" s="104" t="s">
        <v>61</v>
      </c>
      <c r="M15" s="103"/>
    </row>
    <row r="16" spans="1:17" ht="17.25" thickBot="1" x14ac:dyDescent="0.35">
      <c r="C16" s="91"/>
      <c r="H16" s="43" t="s">
        <v>154</v>
      </c>
      <c r="I16" s="41">
        <v>0.39</v>
      </c>
      <c r="L16" s="42" t="s">
        <v>77</v>
      </c>
      <c r="M16" s="36">
        <f>E21*E35*I19*(1-I20)</f>
        <v>0</v>
      </c>
      <c r="P16" s="114" t="s">
        <v>93</v>
      </c>
      <c r="Q16" s="115"/>
    </row>
    <row r="17" spans="2:23" ht="16.5" thickTop="1" thickBot="1" x14ac:dyDescent="0.35">
      <c r="B17" s="4" t="s">
        <v>180</v>
      </c>
      <c r="C17" s="92"/>
      <c r="D17" s="116" t="s">
        <v>173</v>
      </c>
      <c r="E17" s="103"/>
      <c r="L17" s="43" t="s">
        <v>78</v>
      </c>
      <c r="M17" s="7">
        <f>SUM(M35,M41,M47,M53,M59,M65,M72,M78,M84)</f>
        <v>0</v>
      </c>
      <c r="P17" s="108">
        <f>Q8+Q10+Q12+Q14</f>
        <v>0</v>
      </c>
      <c r="Q17" s="108"/>
    </row>
    <row r="18" spans="2:23" ht="15.75" thickBot="1" x14ac:dyDescent="0.35">
      <c r="B18" s="40" t="s">
        <v>32</v>
      </c>
      <c r="C18" s="88"/>
      <c r="D18" s="85" t="s">
        <v>174</v>
      </c>
      <c r="E18" s="3">
        <f>C18*0.404686</f>
        <v>0</v>
      </c>
      <c r="H18" s="4" t="s">
        <v>29</v>
      </c>
      <c r="I18" s="5"/>
      <c r="L18" s="22"/>
      <c r="M18" s="22"/>
      <c r="P18" s="109"/>
      <c r="Q18" s="109"/>
    </row>
    <row r="19" spans="2:23" x14ac:dyDescent="0.3">
      <c r="B19" s="40" t="s">
        <v>40</v>
      </c>
      <c r="C19" s="88"/>
      <c r="D19" s="85" t="s">
        <v>174</v>
      </c>
      <c r="E19" s="3">
        <f t="shared" ref="E19:E21" si="0">C19*0.404686</f>
        <v>0</v>
      </c>
      <c r="H19" s="2" t="s">
        <v>1</v>
      </c>
      <c r="I19" s="8">
        <v>0.34</v>
      </c>
      <c r="L19" s="110" t="s">
        <v>67</v>
      </c>
      <c r="M19" s="111"/>
    </row>
    <row r="20" spans="2:23" ht="17.25" thickBot="1" x14ac:dyDescent="0.35">
      <c r="B20" s="40" t="s">
        <v>31</v>
      </c>
      <c r="C20" s="88"/>
      <c r="D20" s="85" t="s">
        <v>174</v>
      </c>
      <c r="E20" s="3">
        <f t="shared" si="0"/>
        <v>0</v>
      </c>
      <c r="H20" s="6" t="s">
        <v>2</v>
      </c>
      <c r="I20" s="10">
        <v>0.39</v>
      </c>
      <c r="L20" s="2" t="s">
        <v>9</v>
      </c>
      <c r="M20" s="3">
        <f>E12*I24*(1-I25)</f>
        <v>0</v>
      </c>
    </row>
    <row r="21" spans="2:23" ht="17.25" thickBot="1" x14ac:dyDescent="0.35">
      <c r="B21" s="39" t="s">
        <v>41</v>
      </c>
      <c r="C21" s="93"/>
      <c r="D21" s="87" t="s">
        <v>174</v>
      </c>
      <c r="E21" s="11">
        <f t="shared" si="0"/>
        <v>0</v>
      </c>
      <c r="L21" s="6" t="s">
        <v>10</v>
      </c>
      <c r="M21" s="11">
        <f>IF(E58="yes",0,IF(M20&gt;(SUM(M32,M38,M44,M50,M56,M62,M68,M75,M81)),M20-(SUM(M32,M38,M44,M50,M56,M62,M68,M75,M81)),0))</f>
        <v>0</v>
      </c>
      <c r="P21" s="110" t="s">
        <v>83</v>
      </c>
      <c r="Q21" s="111"/>
    </row>
    <row r="22" spans="2:23" ht="15.75" thickBot="1" x14ac:dyDescent="0.35">
      <c r="C22" s="91"/>
      <c r="D22" s="74"/>
      <c r="H22" s="4" t="s">
        <v>28</v>
      </c>
      <c r="I22" s="5"/>
      <c r="P22" s="40" t="s">
        <v>84</v>
      </c>
      <c r="Q22" s="49" t="e">
        <f>SUM(M9:M13)*I41*I42/P17</f>
        <v>#DIV/0!</v>
      </c>
      <c r="S22" s="17"/>
      <c r="T22" s="17"/>
      <c r="U22" s="82"/>
      <c r="V22" s="82"/>
      <c r="W22" s="13"/>
    </row>
    <row r="23" spans="2:23" ht="16.5" x14ac:dyDescent="0.35">
      <c r="B23" s="4" t="s">
        <v>181</v>
      </c>
      <c r="C23" s="92"/>
      <c r="D23" s="116" t="s">
        <v>173</v>
      </c>
      <c r="E23" s="103"/>
      <c r="H23" s="40" t="s">
        <v>43</v>
      </c>
      <c r="I23" s="8">
        <v>0.39</v>
      </c>
      <c r="L23" s="112" t="s">
        <v>118</v>
      </c>
      <c r="M23" s="113"/>
      <c r="P23" s="40" t="s">
        <v>85</v>
      </c>
      <c r="Q23" s="49" t="e">
        <f>M16*I41*I42/P17</f>
        <v>#DIV/0!</v>
      </c>
      <c r="S23" s="46"/>
      <c r="T23" s="46"/>
      <c r="U23" s="82"/>
      <c r="V23" s="27"/>
      <c r="W23" s="14"/>
    </row>
    <row r="24" spans="2:23" ht="17.25" thickBot="1" x14ac:dyDescent="0.35">
      <c r="B24" s="75" t="s">
        <v>33</v>
      </c>
      <c r="C24" s="94"/>
      <c r="D24" s="85" t="s">
        <v>174</v>
      </c>
      <c r="E24" s="3">
        <f t="shared" ref="E24:E30" si="1">C24*0.404686</f>
        <v>0</v>
      </c>
      <c r="H24" s="40" t="s">
        <v>3</v>
      </c>
      <c r="I24" s="12">
        <v>5.3999999999999999E-2</v>
      </c>
      <c r="L24" s="43" t="s">
        <v>164</v>
      </c>
      <c r="M24" s="7">
        <f>E14*E15*(1-I16)*I9</f>
        <v>0</v>
      </c>
      <c r="P24" s="40" t="s">
        <v>86</v>
      </c>
      <c r="Q24" s="78"/>
      <c r="R24" s="17"/>
      <c r="S24" s="17"/>
      <c r="T24" s="17"/>
      <c r="U24" s="27"/>
      <c r="V24" s="27"/>
      <c r="W24" s="14"/>
    </row>
    <row r="25" spans="2:23" ht="16.5" x14ac:dyDescent="0.35">
      <c r="B25" s="75" t="s">
        <v>34</v>
      </c>
      <c r="C25" s="94"/>
      <c r="D25" s="85" t="s">
        <v>174</v>
      </c>
      <c r="E25" s="3">
        <f t="shared" si="1"/>
        <v>0</v>
      </c>
      <c r="H25" s="2" t="s">
        <v>4</v>
      </c>
      <c r="I25" s="8">
        <v>0.5</v>
      </c>
      <c r="L25" s="17"/>
      <c r="M25" s="17"/>
      <c r="P25" s="40" t="s">
        <v>33</v>
      </c>
      <c r="Q25" s="78" t="e">
        <f>M35*I41*I42/P17</f>
        <v>#DIV/0!</v>
      </c>
      <c r="R25" s="46"/>
      <c r="S25" s="17"/>
      <c r="T25" s="17"/>
      <c r="U25" s="27"/>
      <c r="V25" s="27"/>
      <c r="W25" s="14"/>
    </row>
    <row r="26" spans="2:23" ht="16.5" x14ac:dyDescent="0.3">
      <c r="B26" s="75" t="s">
        <v>35</v>
      </c>
      <c r="C26" s="94"/>
      <c r="D26" s="85" t="s">
        <v>174</v>
      </c>
      <c r="E26" s="3">
        <f t="shared" si="1"/>
        <v>0</v>
      </c>
      <c r="H26" s="40" t="s">
        <v>74</v>
      </c>
      <c r="I26" s="3">
        <v>200</v>
      </c>
      <c r="P26" s="40" t="s">
        <v>34</v>
      </c>
      <c r="Q26" s="78" t="e">
        <f>M41*I41*I42/P17</f>
        <v>#DIV/0!</v>
      </c>
      <c r="R26" s="17"/>
      <c r="S26" s="17"/>
      <c r="T26" s="17"/>
      <c r="U26" s="27"/>
      <c r="V26" s="27"/>
      <c r="W26" s="14"/>
    </row>
    <row r="27" spans="2:23" x14ac:dyDescent="0.3">
      <c r="B27" s="40" t="s">
        <v>54</v>
      </c>
      <c r="C27" s="88"/>
      <c r="D27" s="85" t="s">
        <v>174</v>
      </c>
      <c r="E27" s="3">
        <f t="shared" si="1"/>
        <v>0</v>
      </c>
      <c r="H27" s="2"/>
      <c r="I27" s="3"/>
      <c r="L27" s="22"/>
      <c r="M27" s="22"/>
      <c r="P27" s="40" t="s">
        <v>35</v>
      </c>
      <c r="Q27" s="78" t="e">
        <f>M47*I41*I42/P17</f>
        <v>#DIV/0!</v>
      </c>
      <c r="R27" s="17"/>
      <c r="S27" s="17"/>
      <c r="T27" s="17"/>
      <c r="U27" s="27"/>
      <c r="V27" s="27"/>
      <c r="W27" s="14"/>
    </row>
    <row r="28" spans="2:23" ht="16.5" x14ac:dyDescent="0.3">
      <c r="B28" s="75" t="s">
        <v>36</v>
      </c>
      <c r="C28" s="94"/>
      <c r="D28" s="85" t="s">
        <v>174</v>
      </c>
      <c r="E28" s="3">
        <f t="shared" si="1"/>
        <v>0</v>
      </c>
      <c r="H28" s="40" t="s">
        <v>196</v>
      </c>
      <c r="I28" s="99">
        <v>1.9367708333333334E-2</v>
      </c>
      <c r="P28" s="40" t="s">
        <v>54</v>
      </c>
      <c r="Q28" s="78" t="e">
        <f>M53*I41*I42/P17</f>
        <v>#DIV/0!</v>
      </c>
      <c r="R28" s="17"/>
      <c r="S28" s="17"/>
      <c r="T28" s="17"/>
      <c r="U28" s="27"/>
      <c r="V28" s="27"/>
      <c r="W28" s="14"/>
    </row>
    <row r="29" spans="2:23" ht="17.25" x14ac:dyDescent="0.35">
      <c r="B29" s="75" t="s">
        <v>37</v>
      </c>
      <c r="C29" s="94"/>
      <c r="D29" s="85" t="s">
        <v>174</v>
      </c>
      <c r="E29" s="3">
        <f t="shared" si="1"/>
        <v>0</v>
      </c>
      <c r="H29" s="40" t="s">
        <v>197</v>
      </c>
      <c r="I29" s="99">
        <v>1.4158928571428572E-2</v>
      </c>
      <c r="L29" s="107" t="s">
        <v>73</v>
      </c>
      <c r="M29" s="107"/>
      <c r="P29" s="40" t="s">
        <v>36</v>
      </c>
      <c r="Q29" s="78" t="e">
        <f>M59*I41*I42/P17</f>
        <v>#DIV/0!</v>
      </c>
      <c r="R29" s="17"/>
      <c r="S29" s="17"/>
      <c r="T29" s="17"/>
      <c r="U29" s="27"/>
      <c r="V29" s="27"/>
      <c r="W29" s="14"/>
    </row>
    <row r="30" spans="2:23" ht="17.25" thickBot="1" x14ac:dyDescent="0.35">
      <c r="B30" s="75" t="s">
        <v>38</v>
      </c>
      <c r="C30" s="94"/>
      <c r="D30" s="85" t="s">
        <v>174</v>
      </c>
      <c r="E30" s="3">
        <f t="shared" si="1"/>
        <v>0</v>
      </c>
      <c r="H30" s="40" t="s">
        <v>198</v>
      </c>
      <c r="I30" s="99">
        <v>3.8750500000000005E-3</v>
      </c>
      <c r="L30" s="106"/>
      <c r="M30" s="106"/>
      <c r="P30" s="40" t="s">
        <v>37</v>
      </c>
      <c r="Q30" s="78" t="e">
        <f>M65*I41*I42/P17</f>
        <v>#DIV/0!</v>
      </c>
      <c r="R30" s="17"/>
      <c r="S30" s="17"/>
      <c r="T30" s="17"/>
      <c r="U30" s="27"/>
      <c r="V30" s="27"/>
      <c r="W30" s="14"/>
    </row>
    <row r="31" spans="2:23" ht="16.5" x14ac:dyDescent="0.3">
      <c r="B31" s="40" t="s">
        <v>53</v>
      </c>
      <c r="C31" s="88"/>
      <c r="D31" s="85" t="s">
        <v>174</v>
      </c>
      <c r="E31" s="3">
        <f t="shared" ref="E31:E32" si="2">C31*0.404686</f>
        <v>0</v>
      </c>
      <c r="H31" s="42" t="s">
        <v>199</v>
      </c>
      <c r="I31" s="99">
        <v>1.8E-3</v>
      </c>
      <c r="L31" s="102" t="s">
        <v>19</v>
      </c>
      <c r="M31" s="103"/>
      <c r="P31" s="40" t="s">
        <v>87</v>
      </c>
      <c r="Q31" s="78" t="e">
        <f>M72*I41*I42/P17</f>
        <v>#DIV/0!</v>
      </c>
      <c r="R31" s="17"/>
      <c r="S31" s="17"/>
      <c r="T31" s="17"/>
      <c r="U31" s="27"/>
      <c r="V31" s="27"/>
      <c r="W31" s="14"/>
    </row>
    <row r="32" spans="2:23" ht="17.25" thickBot="1" x14ac:dyDescent="0.35">
      <c r="B32" s="39" t="s">
        <v>39</v>
      </c>
      <c r="C32" s="93"/>
      <c r="D32" s="87" t="s">
        <v>174</v>
      </c>
      <c r="E32" s="11">
        <f t="shared" si="2"/>
        <v>0</v>
      </c>
      <c r="H32" s="40" t="s">
        <v>200</v>
      </c>
      <c r="I32" s="99">
        <v>1.9058405555555557E-2</v>
      </c>
      <c r="L32" s="40" t="s">
        <v>75</v>
      </c>
      <c r="M32" s="3">
        <f>E37*E24</f>
        <v>0</v>
      </c>
      <c r="P32" s="40" t="s">
        <v>53</v>
      </c>
      <c r="Q32" s="78" t="e">
        <f>M78*I41*I42/P17</f>
        <v>#DIV/0!</v>
      </c>
      <c r="R32" s="17"/>
      <c r="S32" s="17"/>
      <c r="T32" s="17"/>
      <c r="U32" s="17"/>
      <c r="V32" s="17"/>
    </row>
    <row r="33" spans="2:22" ht="17.25" thickBot="1" x14ac:dyDescent="0.35">
      <c r="C33" s="91"/>
      <c r="H33" s="40" t="s">
        <v>201</v>
      </c>
      <c r="I33" s="99">
        <v>1.6585714285714283E-2</v>
      </c>
      <c r="L33" s="2" t="s">
        <v>7</v>
      </c>
      <c r="M33" s="3">
        <f>E48*I28*E24</f>
        <v>0</v>
      </c>
      <c r="O33" s="17"/>
      <c r="P33" s="40" t="s">
        <v>162</v>
      </c>
      <c r="Q33" s="78" t="e">
        <f>M84*I41*I42/P17</f>
        <v>#DIV/0!</v>
      </c>
      <c r="R33" s="17"/>
      <c r="S33" s="17"/>
      <c r="T33" s="17"/>
      <c r="U33" s="17"/>
      <c r="V33" s="17"/>
    </row>
    <row r="34" spans="2:22" ht="16.5" x14ac:dyDescent="0.3">
      <c r="B34" s="4" t="s">
        <v>185</v>
      </c>
      <c r="C34" s="92"/>
      <c r="D34" s="116" t="s">
        <v>173</v>
      </c>
      <c r="E34" s="103"/>
      <c r="H34" s="44" t="s">
        <v>202</v>
      </c>
      <c r="I34" s="99">
        <v>5.903166666666667E-2</v>
      </c>
      <c r="L34" s="2" t="s">
        <v>8</v>
      </c>
      <c r="M34" s="3">
        <f>M32-M33</f>
        <v>0</v>
      </c>
      <c r="O34" s="17"/>
      <c r="P34" s="40" t="s">
        <v>88</v>
      </c>
      <c r="Q34" s="78" t="e">
        <f>M21*I41*I42/P17</f>
        <v>#DIV/0!</v>
      </c>
      <c r="R34" s="17"/>
      <c r="S34" s="17"/>
      <c r="T34" s="17"/>
      <c r="U34" s="17"/>
      <c r="V34" s="17"/>
    </row>
    <row r="35" spans="2:22" ht="17.25" thickBot="1" x14ac:dyDescent="0.35">
      <c r="B35" s="40" t="s">
        <v>42</v>
      </c>
      <c r="C35" s="88"/>
      <c r="D35" s="85" t="s">
        <v>175</v>
      </c>
      <c r="E35" s="9">
        <f>C35*0.453592/0.404686</f>
        <v>0</v>
      </c>
      <c r="H35" s="42" t="s">
        <v>203</v>
      </c>
      <c r="I35" s="99">
        <v>1.5E-3</v>
      </c>
      <c r="L35" s="6" t="s">
        <v>11</v>
      </c>
      <c r="M35" s="11">
        <f>M34</f>
        <v>0</v>
      </c>
      <c r="O35" s="17"/>
      <c r="P35" s="42" t="s">
        <v>159</v>
      </c>
      <c r="Q35" s="78" t="e">
        <f>E11*I15*I39*I40*I42/P17</f>
        <v>#DIV/0!</v>
      </c>
      <c r="R35" s="17"/>
      <c r="S35" s="17"/>
      <c r="T35" s="17"/>
      <c r="U35" s="17"/>
      <c r="V35" s="17"/>
    </row>
    <row r="36" spans="2:22" ht="17.25" thickBot="1" x14ac:dyDescent="0.35">
      <c r="B36" s="2"/>
      <c r="C36" s="95"/>
      <c r="D36" s="85"/>
      <c r="E36" s="9"/>
      <c r="H36" s="43" t="s">
        <v>204</v>
      </c>
      <c r="I36" s="100">
        <v>1.8778333333333334E-2</v>
      </c>
      <c r="L36" s="22"/>
      <c r="M36" s="22"/>
      <c r="P36" s="42" t="s">
        <v>160</v>
      </c>
      <c r="Q36" s="78" t="e">
        <f>M24*I41*I42/P17</f>
        <v>#DIV/0!</v>
      </c>
      <c r="R36" s="17"/>
      <c r="S36" s="17"/>
      <c r="T36" s="17"/>
      <c r="U36" s="17"/>
      <c r="V36" s="17"/>
    </row>
    <row r="37" spans="2:22" ht="17.25" thickBot="1" x14ac:dyDescent="0.35">
      <c r="B37" s="75" t="s">
        <v>33</v>
      </c>
      <c r="C37" s="94"/>
      <c r="D37" s="85" t="s">
        <v>175</v>
      </c>
      <c r="E37" s="9">
        <f t="shared" ref="E37:E45" si="3">C37*0.453592/0.404686</f>
        <v>0</v>
      </c>
      <c r="J37" s="35"/>
      <c r="L37" s="102" t="s">
        <v>21</v>
      </c>
      <c r="M37" s="103"/>
      <c r="P37" s="42" t="s">
        <v>161</v>
      </c>
      <c r="Q37" s="78" t="e">
        <f>Q12/P17</f>
        <v>#DIV/0!</v>
      </c>
      <c r="R37" s="17"/>
      <c r="S37" s="17"/>
      <c r="T37" s="17"/>
      <c r="U37" s="17"/>
      <c r="V37" s="17"/>
    </row>
    <row r="38" spans="2:22" ht="16.5" x14ac:dyDescent="0.3">
      <c r="B38" s="75" t="s">
        <v>34</v>
      </c>
      <c r="C38" s="94"/>
      <c r="D38" s="85" t="s">
        <v>175</v>
      </c>
      <c r="E38" s="9">
        <f t="shared" si="3"/>
        <v>0</v>
      </c>
      <c r="H38" s="4" t="s">
        <v>30</v>
      </c>
      <c r="I38" s="15"/>
      <c r="J38" s="33"/>
      <c r="L38" s="40" t="s">
        <v>75</v>
      </c>
      <c r="M38" s="3">
        <f>E38*E25</f>
        <v>0</v>
      </c>
      <c r="P38" s="42" t="s">
        <v>91</v>
      </c>
      <c r="Q38" s="78" t="e">
        <f>Q14/P17</f>
        <v>#DIV/0!</v>
      </c>
      <c r="R38" s="17"/>
      <c r="S38" s="17"/>
      <c r="T38" s="17"/>
      <c r="U38" s="17"/>
      <c r="V38" s="17"/>
    </row>
    <row r="39" spans="2:22" ht="18" thickBot="1" x14ac:dyDescent="0.4">
      <c r="B39" s="75" t="s">
        <v>35</v>
      </c>
      <c r="C39" s="94"/>
      <c r="D39" s="85" t="s">
        <v>175</v>
      </c>
      <c r="E39" s="9">
        <f t="shared" si="3"/>
        <v>0</v>
      </c>
      <c r="H39" s="40" t="s">
        <v>68</v>
      </c>
      <c r="I39" s="8">
        <v>0.6</v>
      </c>
      <c r="J39" s="34"/>
      <c r="L39" s="2" t="s">
        <v>7</v>
      </c>
      <c r="M39" s="3">
        <f>E49*I29*E25</f>
        <v>0</v>
      </c>
      <c r="P39" s="50" t="s">
        <v>92</v>
      </c>
      <c r="Q39" s="79" t="e">
        <f>SUM(Q22:Q38)</f>
        <v>#DIV/0!</v>
      </c>
      <c r="R39" s="17"/>
      <c r="S39" s="17"/>
      <c r="T39" s="17"/>
      <c r="U39" s="17"/>
      <c r="V39" s="17"/>
    </row>
    <row r="40" spans="2:22" ht="16.5" x14ac:dyDescent="0.3">
      <c r="B40" s="40" t="s">
        <v>54</v>
      </c>
      <c r="C40" s="88"/>
      <c r="D40" s="85" t="s">
        <v>175</v>
      </c>
      <c r="E40" s="9">
        <f t="shared" si="3"/>
        <v>0</v>
      </c>
      <c r="H40" s="40" t="s">
        <v>46</v>
      </c>
      <c r="I40" s="8">
        <v>0.66</v>
      </c>
      <c r="J40" s="34"/>
      <c r="L40" s="2" t="s">
        <v>8</v>
      </c>
      <c r="M40" s="36">
        <f>M38-M39</f>
        <v>0</v>
      </c>
      <c r="R40" s="17"/>
      <c r="S40" s="17"/>
      <c r="T40" s="17"/>
      <c r="U40" s="17"/>
      <c r="V40" s="17"/>
    </row>
    <row r="41" spans="2:22" ht="18" customHeight="1" thickBot="1" x14ac:dyDescent="0.35">
      <c r="B41" s="75" t="s">
        <v>36</v>
      </c>
      <c r="C41" s="94"/>
      <c r="D41" s="85" t="s">
        <v>175</v>
      </c>
      <c r="E41" s="9">
        <f t="shared" si="3"/>
        <v>0</v>
      </c>
      <c r="H41" s="40" t="s">
        <v>44</v>
      </c>
      <c r="I41" s="8">
        <v>0.39</v>
      </c>
      <c r="J41" s="34"/>
      <c r="L41" s="6" t="s">
        <v>11</v>
      </c>
      <c r="M41" s="11">
        <f>M40</f>
        <v>0</v>
      </c>
      <c r="R41" s="17"/>
      <c r="S41" s="17"/>
      <c r="T41" s="17"/>
      <c r="U41" s="17"/>
      <c r="V41" s="17"/>
    </row>
    <row r="42" spans="2:22" ht="17.25" customHeight="1" thickBot="1" x14ac:dyDescent="0.35">
      <c r="B42" s="75" t="s">
        <v>37</v>
      </c>
      <c r="C42" s="94"/>
      <c r="D42" s="85" t="s">
        <v>175</v>
      </c>
      <c r="E42" s="9">
        <f t="shared" si="3"/>
        <v>0</v>
      </c>
      <c r="H42" s="39" t="s">
        <v>45</v>
      </c>
      <c r="I42" s="10">
        <v>0.65</v>
      </c>
      <c r="J42" s="34"/>
      <c r="P42" s="17"/>
      <c r="Q42" s="17"/>
      <c r="R42" s="17"/>
      <c r="S42" s="17"/>
      <c r="T42" s="17"/>
      <c r="U42" s="17"/>
      <c r="V42" s="17"/>
    </row>
    <row r="43" spans="2:22" ht="16.5" x14ac:dyDescent="0.3">
      <c r="B43" s="75" t="s">
        <v>38</v>
      </c>
      <c r="C43" s="94"/>
      <c r="D43" s="85" t="s">
        <v>175</v>
      </c>
      <c r="E43" s="9">
        <f t="shared" si="3"/>
        <v>0</v>
      </c>
      <c r="H43" s="31" t="s">
        <v>24</v>
      </c>
      <c r="I43" s="31"/>
      <c r="J43" s="34"/>
      <c r="L43" s="102" t="s">
        <v>20</v>
      </c>
      <c r="M43" s="103"/>
      <c r="P43" s="17"/>
      <c r="Q43" s="17"/>
      <c r="R43" s="17"/>
      <c r="S43" s="17"/>
      <c r="T43" s="17"/>
      <c r="U43" s="17"/>
      <c r="V43" s="17"/>
    </row>
    <row r="44" spans="2:22" ht="16.5" x14ac:dyDescent="0.3">
      <c r="B44" s="40" t="s">
        <v>53</v>
      </c>
      <c r="C44" s="88"/>
      <c r="D44" s="85" t="s">
        <v>175</v>
      </c>
      <c r="E44" s="9">
        <f t="shared" si="3"/>
        <v>0</v>
      </c>
      <c r="H44" s="31"/>
      <c r="I44" s="31"/>
      <c r="J44" s="34"/>
      <c r="L44" s="40" t="s">
        <v>75</v>
      </c>
      <c r="M44" s="3">
        <f>E26*E39</f>
        <v>0</v>
      </c>
      <c r="O44" s="17"/>
      <c r="P44" s="17"/>
      <c r="Q44" s="17"/>
      <c r="R44" s="17"/>
      <c r="S44" s="17"/>
      <c r="T44" s="17"/>
      <c r="U44" s="17"/>
      <c r="V44" s="17"/>
    </row>
    <row r="45" spans="2:22" ht="17.25" thickBot="1" x14ac:dyDescent="0.35">
      <c r="B45" s="39" t="s">
        <v>39</v>
      </c>
      <c r="C45" s="93"/>
      <c r="D45" s="87" t="s">
        <v>175</v>
      </c>
      <c r="E45" s="41">
        <f t="shared" si="3"/>
        <v>0</v>
      </c>
      <c r="H45" s="31"/>
      <c r="I45" s="31"/>
      <c r="J45" s="34"/>
      <c r="L45" s="2" t="s">
        <v>7</v>
      </c>
      <c r="M45" s="3">
        <f>E50*I30*E26</f>
        <v>0</v>
      </c>
      <c r="O45" s="17"/>
      <c r="P45" s="17"/>
      <c r="Q45" s="17"/>
      <c r="R45" s="17"/>
      <c r="S45" s="17"/>
      <c r="T45" s="17"/>
      <c r="U45" s="17"/>
      <c r="V45" s="17"/>
    </row>
    <row r="46" spans="2:22" ht="17.25" thickBot="1" x14ac:dyDescent="0.35">
      <c r="C46" s="91"/>
      <c r="J46" s="34"/>
      <c r="L46" s="2" t="s">
        <v>8</v>
      </c>
      <c r="M46" s="3">
        <f>M44-M45</f>
        <v>0</v>
      </c>
      <c r="O46" s="17"/>
      <c r="P46" s="17"/>
      <c r="Q46" s="17"/>
      <c r="R46" s="17"/>
      <c r="S46" s="17"/>
      <c r="T46" s="17"/>
      <c r="U46" s="17"/>
      <c r="V46" s="17"/>
    </row>
    <row r="47" spans="2:22" ht="17.25" thickBot="1" x14ac:dyDescent="0.35">
      <c r="B47" s="4" t="s">
        <v>195</v>
      </c>
      <c r="C47" s="92"/>
      <c r="D47" s="116" t="s">
        <v>173</v>
      </c>
      <c r="E47" s="103"/>
      <c r="J47" s="34"/>
      <c r="L47" s="6" t="s">
        <v>11</v>
      </c>
      <c r="M47" s="11">
        <f>M46</f>
        <v>0</v>
      </c>
      <c r="O47" s="17"/>
      <c r="P47" s="17"/>
      <c r="Q47" s="17"/>
      <c r="R47" s="17"/>
      <c r="S47" s="17"/>
      <c r="T47" s="17"/>
      <c r="U47" s="17"/>
      <c r="V47" s="17"/>
    </row>
    <row r="48" spans="2:22" ht="17.25" thickBot="1" x14ac:dyDescent="0.35">
      <c r="B48" s="75" t="s">
        <v>33</v>
      </c>
      <c r="C48" s="94"/>
      <c r="D48" s="85" t="s">
        <v>194</v>
      </c>
      <c r="E48" s="9">
        <f>C48*0.453592/0.404686</f>
        <v>0</v>
      </c>
      <c r="F48"/>
      <c r="G48"/>
      <c r="J48" s="34"/>
      <c r="L48" s="23"/>
      <c r="M48" s="22"/>
      <c r="P48" s="17"/>
      <c r="Q48" s="17"/>
      <c r="R48" s="17"/>
      <c r="S48" s="17"/>
      <c r="T48" s="17"/>
      <c r="U48" s="17"/>
      <c r="V48" s="17"/>
    </row>
    <row r="49" spans="2:22" ht="16.5" x14ac:dyDescent="0.3">
      <c r="B49" s="75" t="s">
        <v>34</v>
      </c>
      <c r="C49" s="94"/>
      <c r="D49" s="85" t="s">
        <v>194</v>
      </c>
      <c r="E49" s="9">
        <f t="shared" ref="E49:E56" si="4">C49*0.453592/0.404686</f>
        <v>0</v>
      </c>
      <c r="G49"/>
      <c r="J49" s="34"/>
      <c r="L49" s="104" t="s">
        <v>23</v>
      </c>
      <c r="M49" s="103"/>
      <c r="P49" s="17"/>
      <c r="Q49" s="17"/>
      <c r="R49" s="17"/>
      <c r="S49" s="17"/>
      <c r="T49" s="17"/>
      <c r="U49" s="17"/>
      <c r="V49" s="17"/>
    </row>
    <row r="50" spans="2:22" ht="16.5" x14ac:dyDescent="0.3">
      <c r="B50" s="75" t="s">
        <v>35</v>
      </c>
      <c r="C50" s="94"/>
      <c r="D50" s="85" t="s">
        <v>194</v>
      </c>
      <c r="E50" s="9">
        <f t="shared" si="4"/>
        <v>0</v>
      </c>
      <c r="F50"/>
      <c r="G50"/>
      <c r="J50" s="34"/>
      <c r="L50" s="40" t="s">
        <v>75</v>
      </c>
      <c r="M50" s="3">
        <f>E27*E40</f>
        <v>0</v>
      </c>
      <c r="O50"/>
      <c r="P50" s="17"/>
      <c r="Q50" s="17"/>
      <c r="R50" s="17"/>
      <c r="S50" s="17"/>
      <c r="T50" s="17"/>
      <c r="U50" s="17"/>
      <c r="V50" s="17"/>
    </row>
    <row r="51" spans="2:22" ht="16.5" x14ac:dyDescent="0.3">
      <c r="B51" s="40" t="s">
        <v>54</v>
      </c>
      <c r="C51" s="88"/>
      <c r="D51" s="85" t="s">
        <v>194</v>
      </c>
      <c r="E51" s="9">
        <f>C51*0.453592/0.404686</f>
        <v>0</v>
      </c>
      <c r="F51"/>
      <c r="G51"/>
      <c r="J51" s="34"/>
      <c r="L51" s="2" t="s">
        <v>7</v>
      </c>
      <c r="M51" s="3">
        <f>E51*I31*E27</f>
        <v>0</v>
      </c>
      <c r="O51"/>
      <c r="P51" s="17"/>
      <c r="Q51" s="17"/>
      <c r="R51" s="17"/>
      <c r="S51" s="17"/>
      <c r="T51" s="17"/>
      <c r="U51" s="17"/>
      <c r="V51" s="17"/>
    </row>
    <row r="52" spans="2:22" ht="16.5" x14ac:dyDescent="0.3">
      <c r="B52" s="75" t="s">
        <v>36</v>
      </c>
      <c r="C52" s="94"/>
      <c r="D52" s="85" t="s">
        <v>194</v>
      </c>
      <c r="E52" s="9">
        <f t="shared" si="4"/>
        <v>0</v>
      </c>
      <c r="F52" s="28"/>
      <c r="G52"/>
      <c r="J52" s="34"/>
      <c r="L52" s="2" t="s">
        <v>8</v>
      </c>
      <c r="M52" s="3">
        <f>M50-M51</f>
        <v>0</v>
      </c>
      <c r="O52"/>
      <c r="P52" s="17"/>
      <c r="Q52" s="17"/>
      <c r="R52" s="17"/>
      <c r="S52" s="17"/>
      <c r="T52" s="17"/>
      <c r="U52" s="17"/>
      <c r="V52" s="17"/>
    </row>
    <row r="53" spans="2:22" ht="17.25" thickBot="1" x14ac:dyDescent="0.35">
      <c r="B53" s="75" t="s">
        <v>37</v>
      </c>
      <c r="C53" s="94"/>
      <c r="D53" s="85" t="s">
        <v>194</v>
      </c>
      <c r="E53" s="9">
        <f t="shared" si="4"/>
        <v>0</v>
      </c>
      <c r="F53" s="28"/>
      <c r="G53"/>
      <c r="J53" s="34"/>
      <c r="L53" s="6" t="s">
        <v>11</v>
      </c>
      <c r="M53" s="11">
        <f>M52</f>
        <v>0</v>
      </c>
      <c r="O53"/>
      <c r="P53" s="17"/>
      <c r="Q53" s="17"/>
      <c r="R53" s="17"/>
      <c r="S53" s="17"/>
      <c r="T53" s="17"/>
      <c r="U53" s="17"/>
      <c r="V53" s="17"/>
    </row>
    <row r="54" spans="2:22" ht="17.25" thickBot="1" x14ac:dyDescent="0.35">
      <c r="B54" s="75" t="s">
        <v>38</v>
      </c>
      <c r="C54" s="94"/>
      <c r="D54" s="85" t="s">
        <v>194</v>
      </c>
      <c r="E54" s="9">
        <f t="shared" si="4"/>
        <v>0</v>
      </c>
      <c r="F54" s="28"/>
      <c r="G54"/>
      <c r="J54" s="34"/>
      <c r="L54" s="24"/>
      <c r="M54" s="25"/>
      <c r="O54"/>
      <c r="P54" s="17"/>
      <c r="Q54" s="17"/>
      <c r="R54" s="17"/>
      <c r="S54" s="17"/>
      <c r="T54" s="17"/>
      <c r="U54" s="17"/>
      <c r="V54" s="17"/>
    </row>
    <row r="55" spans="2:22" ht="16.5" x14ac:dyDescent="0.3">
      <c r="B55" s="40" t="s">
        <v>53</v>
      </c>
      <c r="C55" s="88"/>
      <c r="D55" s="85" t="s">
        <v>194</v>
      </c>
      <c r="E55" s="9">
        <f t="shared" si="4"/>
        <v>0</v>
      </c>
      <c r="F55" s="28"/>
      <c r="G55"/>
      <c r="J55" s="34"/>
      <c r="L55" s="102" t="s">
        <v>18</v>
      </c>
      <c r="M55" s="103"/>
      <c r="O55"/>
      <c r="P55" s="17"/>
      <c r="Q55" s="17"/>
      <c r="R55" s="17"/>
      <c r="S55" s="17"/>
      <c r="T55" s="17"/>
      <c r="U55" s="17"/>
      <c r="V55" s="17"/>
    </row>
    <row r="56" spans="2:22" ht="17.25" thickBot="1" x14ac:dyDescent="0.35">
      <c r="B56" s="39" t="s">
        <v>39</v>
      </c>
      <c r="C56" s="93"/>
      <c r="D56" s="87" t="s">
        <v>194</v>
      </c>
      <c r="E56" s="41">
        <f t="shared" si="4"/>
        <v>0</v>
      </c>
      <c r="F56" s="28"/>
      <c r="G56"/>
      <c r="H56" s="1" t="s">
        <v>24</v>
      </c>
      <c r="J56" s="34"/>
      <c r="L56" s="40" t="s">
        <v>75</v>
      </c>
      <c r="M56" s="3">
        <f>E41*E28</f>
        <v>0</v>
      </c>
      <c r="O56"/>
      <c r="P56" s="17"/>
      <c r="Q56" s="17"/>
      <c r="R56" s="17"/>
      <c r="S56" s="17"/>
      <c r="T56" s="17"/>
      <c r="U56" s="17"/>
      <c r="V56" s="17"/>
    </row>
    <row r="57" spans="2:22" ht="17.25" thickBot="1" x14ac:dyDescent="0.35">
      <c r="F57" s="28"/>
      <c r="G57"/>
      <c r="J57" s="20"/>
      <c r="L57" s="2" t="s">
        <v>7</v>
      </c>
      <c r="M57" s="3">
        <f>E52*I32*E28</f>
        <v>0</v>
      </c>
      <c r="O57"/>
      <c r="P57" s="17"/>
      <c r="Q57" s="17"/>
      <c r="R57" s="17"/>
      <c r="S57" s="17"/>
      <c r="T57" s="17"/>
      <c r="U57" s="17"/>
      <c r="V57" s="17"/>
    </row>
    <row r="58" spans="2:22" ht="30.75" thickBot="1" x14ac:dyDescent="0.35">
      <c r="B58" s="77" t="s">
        <v>157</v>
      </c>
      <c r="C58" s="96" t="s">
        <v>117</v>
      </c>
      <c r="D58" s="84"/>
      <c r="E58" s="76" t="str">
        <f>C58</f>
        <v>no</v>
      </c>
      <c r="F58" s="28"/>
      <c r="G58"/>
      <c r="J58" s="20"/>
      <c r="L58" s="2" t="s">
        <v>8</v>
      </c>
      <c r="M58" s="3">
        <f>M56-M57</f>
        <v>0</v>
      </c>
      <c r="O58"/>
      <c r="P58" s="17"/>
      <c r="Q58" s="17"/>
      <c r="R58" s="17"/>
      <c r="S58" s="17"/>
      <c r="T58" s="17"/>
      <c r="U58" s="17"/>
      <c r="V58" s="17"/>
    </row>
    <row r="59" spans="2:22" ht="17.25" thickBot="1" x14ac:dyDescent="0.35">
      <c r="C59" s="74"/>
      <c r="F59" s="28"/>
      <c r="G59"/>
      <c r="H59" s="20"/>
      <c r="I59" s="31"/>
      <c r="J59" s="20"/>
      <c r="L59" s="6" t="s">
        <v>11</v>
      </c>
      <c r="M59" s="11">
        <f>M58</f>
        <v>0</v>
      </c>
      <c r="O59"/>
      <c r="P59" s="17"/>
      <c r="Q59" s="17"/>
      <c r="R59" s="17"/>
      <c r="S59" s="17"/>
      <c r="T59" s="17"/>
      <c r="U59" s="17"/>
      <c r="V59" s="17"/>
    </row>
    <row r="60" spans="2:22" ht="30.75" thickBot="1" x14ac:dyDescent="0.35">
      <c r="B60" s="77" t="s">
        <v>165</v>
      </c>
      <c r="C60" s="96">
        <v>0</v>
      </c>
      <c r="D60" s="84"/>
      <c r="E60" s="76">
        <f>C60</f>
        <v>0</v>
      </c>
      <c r="F60" s="28"/>
      <c r="G60"/>
      <c r="H60" s="31"/>
      <c r="I60" s="31"/>
      <c r="J60" s="31"/>
      <c r="L60" s="22"/>
      <c r="M60" s="26"/>
      <c r="O60"/>
      <c r="P60" s="17"/>
      <c r="Q60" s="17"/>
      <c r="R60" s="17"/>
      <c r="S60" s="30"/>
      <c r="T60" s="17"/>
      <c r="U60" s="17"/>
      <c r="V60" s="17"/>
    </row>
    <row r="61" spans="2:22" x14ac:dyDescent="0.3">
      <c r="F61" s="28"/>
      <c r="G61"/>
      <c r="H61" s="20"/>
      <c r="I61" s="31"/>
      <c r="J61" s="20"/>
      <c r="L61" s="102" t="s">
        <v>22</v>
      </c>
      <c r="M61" s="103"/>
      <c r="O61"/>
      <c r="P61" s="17"/>
      <c r="Q61" s="17"/>
      <c r="R61" s="17"/>
      <c r="S61" s="30"/>
      <c r="T61" s="17"/>
      <c r="U61" s="17"/>
      <c r="V61" s="17"/>
    </row>
    <row r="62" spans="2:22" ht="16.5" x14ac:dyDescent="0.3">
      <c r="F62" s="28"/>
      <c r="G62"/>
      <c r="H62" s="20"/>
      <c r="I62" s="31"/>
      <c r="J62" s="20"/>
      <c r="L62" s="40" t="s">
        <v>75</v>
      </c>
      <c r="M62" s="3">
        <f>E42*E29</f>
        <v>0</v>
      </c>
      <c r="O62"/>
      <c r="P62" s="17"/>
      <c r="Q62" s="17"/>
      <c r="R62" s="17"/>
      <c r="S62" s="30"/>
      <c r="T62" s="17"/>
      <c r="U62" s="17"/>
      <c r="V62" s="17"/>
    </row>
    <row r="63" spans="2:22" ht="16.5" x14ac:dyDescent="0.3">
      <c r="F63" s="27"/>
      <c r="H63" s="20"/>
      <c r="I63" s="31"/>
      <c r="J63" s="20"/>
      <c r="L63" s="2" t="s">
        <v>7</v>
      </c>
      <c r="M63" s="3">
        <f>E53*I33*E29</f>
        <v>0</v>
      </c>
      <c r="O63"/>
      <c r="P63" s="17"/>
      <c r="Q63" s="17"/>
      <c r="R63" s="17"/>
      <c r="S63" s="30"/>
      <c r="T63" s="17"/>
      <c r="U63" s="17"/>
      <c r="V63" s="17"/>
    </row>
    <row r="64" spans="2:22" ht="16.5" x14ac:dyDescent="0.3">
      <c r="F64" s="27"/>
      <c r="H64" s="20"/>
      <c r="I64" s="31"/>
      <c r="J64" s="20"/>
      <c r="L64" s="2" t="s">
        <v>8</v>
      </c>
      <c r="M64" s="3">
        <f>M62-M63</f>
        <v>0</v>
      </c>
      <c r="O64"/>
      <c r="P64" s="17"/>
      <c r="Q64" s="17"/>
      <c r="R64" s="17"/>
      <c r="S64" s="30"/>
      <c r="T64" s="17"/>
      <c r="U64" s="17"/>
      <c r="V64" s="17"/>
    </row>
    <row r="65" spans="6:22" ht="17.25" thickBot="1" x14ac:dyDescent="0.35">
      <c r="F65" s="27"/>
      <c r="H65" s="20"/>
      <c r="I65" s="31"/>
      <c r="J65" s="20"/>
      <c r="L65" s="6" t="s">
        <v>11</v>
      </c>
      <c r="M65" s="11">
        <f>M64</f>
        <v>0</v>
      </c>
      <c r="P65" s="17"/>
      <c r="Q65" s="17"/>
      <c r="R65" s="30"/>
      <c r="S65" s="30"/>
      <c r="T65" s="17"/>
      <c r="U65" s="17"/>
      <c r="V65" s="17"/>
    </row>
    <row r="66" spans="6:22" ht="15.75" thickBot="1" x14ac:dyDescent="0.35">
      <c r="F66" s="27"/>
      <c r="H66" s="20"/>
      <c r="I66" s="31"/>
      <c r="J66" s="20"/>
      <c r="M66"/>
      <c r="P66" s="17"/>
      <c r="Q66" s="17"/>
      <c r="R66" s="30"/>
      <c r="S66" s="30"/>
      <c r="T66" s="17"/>
      <c r="U66" s="17"/>
      <c r="V66" s="17"/>
    </row>
    <row r="67" spans="6:22" x14ac:dyDescent="0.3">
      <c r="H67" s="20"/>
      <c r="I67" s="31"/>
      <c r="J67" s="20"/>
      <c r="L67" s="102" t="s">
        <v>5</v>
      </c>
      <c r="M67" s="103"/>
      <c r="P67" s="17"/>
      <c r="Q67" s="17"/>
      <c r="R67" s="30"/>
      <c r="S67" s="30"/>
      <c r="T67" s="17"/>
      <c r="U67" s="17"/>
      <c r="V67" s="17"/>
    </row>
    <row r="68" spans="6:22" ht="16.5" x14ac:dyDescent="0.3">
      <c r="H68" s="20"/>
      <c r="I68" s="31"/>
      <c r="J68" s="26"/>
      <c r="L68" s="40" t="s">
        <v>75</v>
      </c>
      <c r="M68" s="3">
        <f>(E43*E30)</f>
        <v>0</v>
      </c>
      <c r="P68" s="17"/>
      <c r="Q68" s="17"/>
      <c r="R68" s="30"/>
      <c r="S68" s="30"/>
      <c r="T68" s="17"/>
      <c r="U68" s="17"/>
      <c r="V68" s="17"/>
    </row>
    <row r="69" spans="6:22" ht="16.5" x14ac:dyDescent="0.3">
      <c r="H69" s="26"/>
      <c r="I69" s="22"/>
      <c r="J69" s="26"/>
      <c r="L69" s="40" t="s">
        <v>79</v>
      </c>
      <c r="M69" s="3">
        <f>(I26*E30)</f>
        <v>0</v>
      </c>
      <c r="P69" s="17"/>
      <c r="Q69" s="17"/>
      <c r="R69" s="30"/>
      <c r="S69" s="17"/>
      <c r="T69" s="17"/>
      <c r="U69" s="17"/>
      <c r="V69" s="17"/>
    </row>
    <row r="70" spans="6:22" ht="16.5" x14ac:dyDescent="0.3">
      <c r="H70" s="26"/>
      <c r="I70" s="22"/>
      <c r="J70"/>
      <c r="L70" s="2" t="s">
        <v>7</v>
      </c>
      <c r="M70" s="3">
        <f>E54*I34*E30</f>
        <v>0</v>
      </c>
      <c r="P70" s="17"/>
      <c r="Q70" s="17"/>
      <c r="R70" s="30"/>
      <c r="S70" s="17"/>
      <c r="T70" s="17"/>
      <c r="U70" s="17"/>
      <c r="V70" s="17"/>
    </row>
    <row r="71" spans="6:22" ht="16.5" x14ac:dyDescent="0.3">
      <c r="H71"/>
      <c r="J71"/>
      <c r="L71" s="2" t="s">
        <v>8</v>
      </c>
      <c r="M71" s="3">
        <f>(M68+M69)-M70</f>
        <v>0</v>
      </c>
      <c r="P71" s="17"/>
      <c r="Q71" s="17"/>
      <c r="R71" s="30"/>
      <c r="S71" s="17"/>
      <c r="T71" s="17"/>
      <c r="U71" s="17"/>
      <c r="V71" s="17"/>
    </row>
    <row r="72" spans="6:22" ht="17.25" thickBot="1" x14ac:dyDescent="0.35">
      <c r="H72"/>
      <c r="L72" s="6" t="s">
        <v>11</v>
      </c>
      <c r="M72" s="11">
        <f>M71</f>
        <v>0</v>
      </c>
      <c r="P72" s="17"/>
      <c r="Q72" s="17"/>
      <c r="R72" s="30"/>
      <c r="S72" s="17"/>
      <c r="T72" s="17"/>
      <c r="U72" s="17"/>
      <c r="V72" s="17"/>
    </row>
    <row r="73" spans="6:22" ht="15.75" thickBot="1" x14ac:dyDescent="0.35">
      <c r="H73"/>
      <c r="P73" s="17"/>
      <c r="Q73" s="17"/>
      <c r="R73" s="17"/>
      <c r="S73" s="17"/>
      <c r="T73" s="17"/>
      <c r="U73" s="17"/>
      <c r="V73" s="17"/>
    </row>
    <row r="74" spans="6:22" x14ac:dyDescent="0.3">
      <c r="L74" s="104" t="s">
        <v>25</v>
      </c>
      <c r="M74" s="105"/>
      <c r="P74" s="17"/>
      <c r="Q74" s="17"/>
      <c r="R74" s="17"/>
      <c r="S74" s="17"/>
      <c r="T74" s="17"/>
      <c r="U74" s="17"/>
      <c r="V74" s="17"/>
    </row>
    <row r="75" spans="6:22" ht="16.5" x14ac:dyDescent="0.3">
      <c r="L75" s="45" t="s">
        <v>75</v>
      </c>
      <c r="M75" s="3">
        <f>E31*E44</f>
        <v>0</v>
      </c>
      <c r="P75" s="17"/>
      <c r="Q75" s="17"/>
      <c r="R75" s="17"/>
      <c r="S75" s="17"/>
      <c r="T75" s="17"/>
      <c r="U75" s="17"/>
      <c r="V75" s="17"/>
    </row>
    <row r="76" spans="6:22" ht="16.5" x14ac:dyDescent="0.3">
      <c r="L76" s="19" t="s">
        <v>14</v>
      </c>
      <c r="M76" s="3">
        <f>E55*I35*E31</f>
        <v>0</v>
      </c>
      <c r="P76" s="17"/>
      <c r="Q76" s="17"/>
      <c r="R76" s="17"/>
      <c r="S76" s="17"/>
      <c r="T76" s="17"/>
      <c r="U76" s="17"/>
      <c r="V76" s="17"/>
    </row>
    <row r="77" spans="6:22" ht="16.5" x14ac:dyDescent="0.3">
      <c r="L77" s="19" t="s">
        <v>8</v>
      </c>
      <c r="M77" s="3">
        <f>M75-M76</f>
        <v>0</v>
      </c>
      <c r="P77" s="17"/>
      <c r="Q77" s="17"/>
      <c r="R77" s="17"/>
      <c r="S77" s="17"/>
      <c r="T77" s="17"/>
      <c r="U77" s="17"/>
      <c r="V77" s="17"/>
    </row>
    <row r="78" spans="6:22" ht="17.25" thickBot="1" x14ac:dyDescent="0.35">
      <c r="L78" s="21" t="s">
        <v>11</v>
      </c>
      <c r="M78" s="11">
        <f>M77</f>
        <v>0</v>
      </c>
      <c r="P78" s="17"/>
      <c r="Q78" s="17"/>
      <c r="R78" s="17"/>
      <c r="S78" s="17"/>
      <c r="T78" s="17"/>
      <c r="U78" s="17"/>
      <c r="V78" s="17"/>
    </row>
    <row r="79" spans="6:22" ht="15.75" thickBot="1" x14ac:dyDescent="0.35">
      <c r="P79" s="17"/>
      <c r="Q79" s="17"/>
      <c r="R79" s="17"/>
      <c r="S79" s="17"/>
      <c r="T79" s="17"/>
      <c r="U79" s="17"/>
      <c r="V79" s="17"/>
    </row>
    <row r="80" spans="6:22" x14ac:dyDescent="0.3">
      <c r="L80" s="102" t="s">
        <v>6</v>
      </c>
      <c r="M80" s="103"/>
      <c r="P80" s="17"/>
      <c r="Q80" s="17"/>
      <c r="R80" s="17"/>
      <c r="S80" s="17"/>
      <c r="T80" s="17"/>
      <c r="U80" s="17"/>
      <c r="V80" s="17"/>
    </row>
    <row r="81" spans="12:22" ht="16.5" x14ac:dyDescent="0.3">
      <c r="L81" s="45" t="s">
        <v>75</v>
      </c>
      <c r="M81" s="3">
        <f>E32*E45</f>
        <v>0</v>
      </c>
      <c r="P81" s="17"/>
      <c r="Q81" s="17"/>
      <c r="R81" s="17"/>
      <c r="S81" s="17"/>
      <c r="T81" s="17"/>
      <c r="U81" s="17"/>
      <c r="V81" s="17"/>
    </row>
    <row r="82" spans="12:22" ht="16.5" x14ac:dyDescent="0.3">
      <c r="L82" s="19" t="s">
        <v>14</v>
      </c>
      <c r="M82" s="3">
        <f>E56*I36*E32</f>
        <v>0</v>
      </c>
      <c r="P82" s="17"/>
      <c r="Q82" s="17"/>
      <c r="R82" s="17"/>
      <c r="S82" s="17"/>
      <c r="T82" s="17"/>
      <c r="U82" s="17"/>
      <c r="V82" s="17"/>
    </row>
    <row r="83" spans="12:22" ht="16.5" x14ac:dyDescent="0.3">
      <c r="L83" s="19" t="s">
        <v>8</v>
      </c>
      <c r="M83" s="3">
        <f>M81-M82</f>
        <v>0</v>
      </c>
      <c r="P83" s="17"/>
      <c r="Q83" s="17"/>
      <c r="R83" s="17"/>
      <c r="S83" s="17"/>
      <c r="T83" s="17"/>
      <c r="U83" s="17"/>
      <c r="V83" s="17"/>
    </row>
    <row r="84" spans="12:22" ht="17.25" thickBot="1" x14ac:dyDescent="0.35">
      <c r="L84" s="21" t="s">
        <v>11</v>
      </c>
      <c r="M84" s="11">
        <f>M81-M82</f>
        <v>0</v>
      </c>
      <c r="P84" s="17"/>
      <c r="Q84" s="17"/>
      <c r="R84" s="17"/>
      <c r="S84" s="17"/>
      <c r="T84" s="17"/>
      <c r="U84" s="17"/>
      <c r="V84" s="17"/>
    </row>
    <row r="85" spans="12:22" x14ac:dyDescent="0.3">
      <c r="P85" s="17"/>
      <c r="Q85" s="17"/>
      <c r="R85" s="17"/>
      <c r="S85" s="17"/>
      <c r="T85" s="17"/>
      <c r="U85" s="17"/>
      <c r="V85" s="17"/>
    </row>
    <row r="86" spans="12:22" x14ac:dyDescent="0.3">
      <c r="P86" s="17"/>
      <c r="Q86" s="17"/>
      <c r="R86" s="17"/>
      <c r="S86" s="17"/>
      <c r="T86" s="17"/>
      <c r="U86" s="17"/>
      <c r="V86" s="17"/>
    </row>
    <row r="87" spans="12:22" x14ac:dyDescent="0.3">
      <c r="P87" s="17"/>
      <c r="Q87" s="17"/>
      <c r="R87" s="17"/>
    </row>
    <row r="88" spans="12:22" x14ac:dyDescent="0.3">
      <c r="R88" s="17"/>
    </row>
  </sheetData>
  <mergeCells count="29">
    <mergeCell ref="P21:Q21"/>
    <mergeCell ref="B3:K3"/>
    <mergeCell ref="B6:E6"/>
    <mergeCell ref="H6:I6"/>
    <mergeCell ref="L6:M6"/>
    <mergeCell ref="P6:Q6"/>
    <mergeCell ref="L8:M8"/>
    <mergeCell ref="D8:E8"/>
    <mergeCell ref="L14:M14"/>
    <mergeCell ref="L15:M15"/>
    <mergeCell ref="P16:Q16"/>
    <mergeCell ref="P17:Q18"/>
    <mergeCell ref="L19:M19"/>
    <mergeCell ref="D17:E17"/>
    <mergeCell ref="L55:M55"/>
    <mergeCell ref="L61:M61"/>
    <mergeCell ref="L67:M67"/>
    <mergeCell ref="L74:M74"/>
    <mergeCell ref="L80:M80"/>
    <mergeCell ref="D23:E23"/>
    <mergeCell ref="D34:E34"/>
    <mergeCell ref="D47:E47"/>
    <mergeCell ref="L49:M49"/>
    <mergeCell ref="L23:M23"/>
    <mergeCell ref="L29:M29"/>
    <mergeCell ref="L30:M30"/>
    <mergeCell ref="L31:M31"/>
    <mergeCell ref="L37:M37"/>
    <mergeCell ref="L43:M43"/>
  </mergeCells>
  <pageMargins left="0.75" right="0.75" top="1" bottom="1" header="0.5" footer="0.5"/>
  <pageSetup scale="76"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2:U86"/>
  <sheetViews>
    <sheetView zoomScale="70" zoomScaleNormal="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27</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59486.825016055162</v>
      </c>
    </row>
    <row r="9" spans="1:15" ht="16.5" x14ac:dyDescent="0.3">
      <c r="B9" s="40" t="s">
        <v>57</v>
      </c>
      <c r="C9" s="9">
        <v>7.1</v>
      </c>
      <c r="F9" s="40" t="s">
        <v>47</v>
      </c>
      <c r="G9" s="8">
        <v>0.35</v>
      </c>
      <c r="J9" s="40" t="s">
        <v>62</v>
      </c>
      <c r="K9" s="3">
        <f>SUM(C22:C30)*C9*G11</f>
        <v>9826.6977557221217</v>
      </c>
    </row>
    <row r="10" spans="1:15" ht="16.5" x14ac:dyDescent="0.3">
      <c r="A10" s="32" t="s">
        <v>24</v>
      </c>
      <c r="B10" s="40" t="s">
        <v>80</v>
      </c>
      <c r="C10" s="3">
        <v>15816.979555128039</v>
      </c>
      <c r="F10" s="40" t="s">
        <v>69</v>
      </c>
      <c r="G10" s="8">
        <v>0.38</v>
      </c>
      <c r="J10" s="40" t="s">
        <v>63</v>
      </c>
      <c r="K10" s="3">
        <f>C16*C9*G10</f>
        <v>422.50745249342697</v>
      </c>
      <c r="N10" s="16" t="s">
        <v>13</v>
      </c>
      <c r="O10" s="16">
        <f>C11*G15*G38*G39*G41</f>
        <v>8690.4789073944103</v>
      </c>
    </row>
    <row r="11" spans="1:15" x14ac:dyDescent="0.3">
      <c r="B11" s="40" t="s">
        <v>163</v>
      </c>
      <c r="C11" s="3">
        <v>7033.8633995357504</v>
      </c>
      <c r="F11" s="40" t="s">
        <v>70</v>
      </c>
      <c r="G11" s="8">
        <v>0.38</v>
      </c>
      <c r="J11" s="40" t="s">
        <v>64</v>
      </c>
      <c r="K11" s="3">
        <f>C17*C9</f>
        <v>11971.04448731376</v>
      </c>
      <c r="N11" s="18"/>
      <c r="O11" s="18"/>
    </row>
    <row r="12" spans="1:15" ht="17.25" thickBot="1" x14ac:dyDescent="0.35">
      <c r="B12" s="40" t="s">
        <v>58</v>
      </c>
      <c r="C12" s="3">
        <v>1232000</v>
      </c>
      <c r="F12" s="39" t="s">
        <v>48</v>
      </c>
      <c r="G12" s="10">
        <v>0.38</v>
      </c>
      <c r="J12" s="40" t="s">
        <v>65</v>
      </c>
      <c r="K12" s="3">
        <f>C18*C9*G9</f>
        <v>20671.330473477748</v>
      </c>
      <c r="N12" s="47" t="s">
        <v>81</v>
      </c>
      <c r="O12" s="16">
        <f>C10</f>
        <v>15816.979555128039</v>
      </c>
    </row>
    <row r="13" spans="1:15" ht="15.75" thickBot="1" x14ac:dyDescent="0.35">
      <c r="B13" s="39" t="s">
        <v>56</v>
      </c>
      <c r="C13" s="11">
        <v>3689.9238940659375</v>
      </c>
      <c r="J13" s="39" t="s">
        <v>66</v>
      </c>
      <c r="K13" s="11">
        <f>C19*C9*G12</f>
        <v>2986.2049717035429</v>
      </c>
      <c r="N13" s="18"/>
      <c r="O13" s="18"/>
    </row>
    <row r="14" spans="1:15" ht="17.25" thickBot="1" x14ac:dyDescent="0.35">
      <c r="F14" s="4" t="s">
        <v>59</v>
      </c>
      <c r="G14" s="5"/>
      <c r="J14" s="106"/>
      <c r="K14" s="106"/>
      <c r="N14" s="47" t="s">
        <v>82</v>
      </c>
      <c r="O14" s="16">
        <f>C9*C13</f>
        <v>26198.459647868156</v>
      </c>
    </row>
    <row r="15" spans="1:15" ht="17.25" thickBot="1" x14ac:dyDescent="0.35">
      <c r="B15" s="4" t="s">
        <v>51</v>
      </c>
      <c r="C15" s="5"/>
      <c r="F15" s="39" t="s">
        <v>71</v>
      </c>
      <c r="G15" s="41">
        <v>4.8</v>
      </c>
      <c r="J15" s="104" t="s">
        <v>61</v>
      </c>
      <c r="K15" s="103"/>
    </row>
    <row r="16" spans="1:15" ht="17.25" thickBot="1" x14ac:dyDescent="0.35">
      <c r="B16" s="40" t="s">
        <v>32</v>
      </c>
      <c r="C16" s="3">
        <v>156.60024184337544</v>
      </c>
      <c r="J16" s="42" t="s">
        <v>77</v>
      </c>
      <c r="K16" s="36">
        <f>C19*C33*G18*(1-G19)</f>
        <v>24103.256363524113</v>
      </c>
      <c r="N16" s="114" t="s">
        <v>93</v>
      </c>
      <c r="O16" s="115"/>
    </row>
    <row r="17" spans="2:21" ht="16.5" thickTop="1" thickBot="1" x14ac:dyDescent="0.35">
      <c r="B17" s="40" t="s">
        <v>40</v>
      </c>
      <c r="C17" s="3">
        <v>1686.0626038470086</v>
      </c>
      <c r="F17" s="4" t="s">
        <v>29</v>
      </c>
      <c r="G17" s="5"/>
      <c r="J17" s="43" t="s">
        <v>78</v>
      </c>
      <c r="K17" s="7">
        <f>SUM(K32,K38,K44,K50,K56,K62,K69,K75,K81)</f>
        <v>164680.99011728464</v>
      </c>
      <c r="N17" s="108">
        <f>O8+O10+O12+O14</f>
        <v>110192.74312644577</v>
      </c>
      <c r="O17" s="108"/>
    </row>
    <row r="18" spans="2:21" ht="15.75" thickBot="1" x14ac:dyDescent="0.35">
      <c r="B18" s="40" t="s">
        <v>31</v>
      </c>
      <c r="C18" s="3">
        <v>8318.4428464699195</v>
      </c>
      <c r="F18" s="2" t="s">
        <v>1</v>
      </c>
      <c r="G18" s="8">
        <v>0.34</v>
      </c>
      <c r="J18" s="22"/>
      <c r="K18" s="22"/>
      <c r="N18" s="109"/>
      <c r="O18" s="109"/>
    </row>
    <row r="19" spans="2:21" ht="15.75" thickBot="1" x14ac:dyDescent="0.35">
      <c r="B19" s="39" t="s">
        <v>41</v>
      </c>
      <c r="C19" s="11">
        <v>1106.8217093045007</v>
      </c>
      <c r="F19" s="6" t="s">
        <v>2</v>
      </c>
      <c r="G19" s="10">
        <v>0.39</v>
      </c>
      <c r="J19" s="110" t="s">
        <v>67</v>
      </c>
      <c r="K19" s="111"/>
    </row>
    <row r="20" spans="2:21" ht="17.25" thickBot="1" x14ac:dyDescent="0.35">
      <c r="J20" s="2" t="s">
        <v>9</v>
      </c>
      <c r="K20" s="3">
        <f>C12*G23*(1-G24)</f>
        <v>33264</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3">
        <v>133.87242000077435</v>
      </c>
      <c r="F22" s="40" t="s">
        <v>43</v>
      </c>
      <c r="G22" s="8">
        <v>0.39</v>
      </c>
      <c r="J22" s="22"/>
      <c r="K22" s="22"/>
      <c r="N22" s="40" t="s">
        <v>84</v>
      </c>
      <c r="O22" s="48">
        <f>SUM(K9:K13)*G40*G41/N17</f>
        <v>0.10554250854636348</v>
      </c>
      <c r="P22" s="17"/>
      <c r="Q22" s="17"/>
      <c r="R22" s="17"/>
      <c r="S22" s="29"/>
      <c r="T22" s="29"/>
      <c r="U22" s="13"/>
    </row>
    <row r="23" spans="2:21" ht="16.5" x14ac:dyDescent="0.35">
      <c r="B23" s="75" t="s">
        <v>34</v>
      </c>
      <c r="C23" s="3">
        <v>1600.4086339255273</v>
      </c>
      <c r="F23" s="40" t="s">
        <v>3</v>
      </c>
      <c r="G23" s="12">
        <v>5.3999999999999999E-2</v>
      </c>
      <c r="J23" s="22"/>
      <c r="K23" s="22"/>
      <c r="N23" s="40" t="s">
        <v>85</v>
      </c>
      <c r="O23" s="49">
        <f>K16*G40*G41/N17</f>
        <v>5.5449890027167756E-2</v>
      </c>
      <c r="P23" s="46"/>
      <c r="Q23" s="46"/>
      <c r="R23" s="46"/>
      <c r="S23" s="29"/>
      <c r="T23" s="27"/>
      <c r="U23" s="14"/>
    </row>
    <row r="24" spans="2:21" x14ac:dyDescent="0.3">
      <c r="B24" s="75" t="s">
        <v>35</v>
      </c>
      <c r="C24" s="3">
        <v>53.050759865468102</v>
      </c>
      <c r="F24" s="2" t="s">
        <v>4</v>
      </c>
      <c r="G24" s="8">
        <v>0.5</v>
      </c>
      <c r="J24" s="22"/>
      <c r="K24" s="22"/>
      <c r="N24" s="40" t="s">
        <v>86</v>
      </c>
      <c r="O24" s="8"/>
      <c r="P24" s="17"/>
      <c r="Q24" s="17"/>
      <c r="R24" s="17"/>
      <c r="S24" s="27"/>
      <c r="T24" s="27"/>
      <c r="U24" s="14"/>
    </row>
    <row r="25" spans="2:21" ht="16.5" x14ac:dyDescent="0.3">
      <c r="B25" s="40" t="s">
        <v>54</v>
      </c>
      <c r="C25" s="3">
        <v>0</v>
      </c>
      <c r="F25" s="40" t="s">
        <v>74</v>
      </c>
      <c r="G25" s="3">
        <v>200</v>
      </c>
      <c r="N25" s="40" t="s">
        <v>33</v>
      </c>
      <c r="O25" s="8">
        <f>K32*G40*G41/N17</f>
        <v>4.480974060406556E-3</v>
      </c>
      <c r="P25" s="17"/>
      <c r="Q25" s="17"/>
      <c r="R25" s="17"/>
      <c r="S25" s="27"/>
      <c r="T25" s="27"/>
      <c r="U25" s="14"/>
    </row>
    <row r="26" spans="2:21" ht="16.5" x14ac:dyDescent="0.35">
      <c r="B26" s="75" t="s">
        <v>36</v>
      </c>
      <c r="C26" s="3">
        <v>0</v>
      </c>
      <c r="F26" s="2"/>
      <c r="G26" s="3"/>
      <c r="J26" s="107" t="s">
        <v>73</v>
      </c>
      <c r="K26" s="107"/>
      <c r="N26" s="40" t="s">
        <v>34</v>
      </c>
      <c r="O26" s="8">
        <f>K38*G40*G41/N17</f>
        <v>0.1268922257985497</v>
      </c>
      <c r="P26" s="17"/>
      <c r="Q26" s="17"/>
      <c r="R26" s="17"/>
      <c r="S26" s="27"/>
      <c r="T26" s="27"/>
      <c r="U26" s="14"/>
    </row>
    <row r="27" spans="2:21" ht="17.25" thickBot="1" x14ac:dyDescent="0.35">
      <c r="B27" s="75" t="s">
        <v>37</v>
      </c>
      <c r="C27" s="3">
        <v>7.1280890913898673</v>
      </c>
      <c r="F27" s="40" t="s">
        <v>196</v>
      </c>
      <c r="G27" s="99">
        <v>1.9367708333333334E-2</v>
      </c>
      <c r="J27" s="106"/>
      <c r="K27" s="106"/>
      <c r="N27" s="40" t="s">
        <v>35</v>
      </c>
      <c r="O27" s="8">
        <f>K44*G40*G41/N17</f>
        <v>-1.565042422415238E-3</v>
      </c>
      <c r="P27" s="17"/>
      <c r="Q27" s="17"/>
      <c r="R27" s="17"/>
      <c r="S27" s="27"/>
      <c r="T27" s="27"/>
      <c r="U27" s="14"/>
    </row>
    <row r="28" spans="2:21" ht="16.5" x14ac:dyDescent="0.3">
      <c r="B28" s="75" t="s">
        <v>38</v>
      </c>
      <c r="C28" s="3">
        <v>1451.8817615646369</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3">
        <v>0</v>
      </c>
      <c r="F29" s="40" t="s">
        <v>198</v>
      </c>
      <c r="G29" s="99">
        <v>3.8750500000000005E-3</v>
      </c>
      <c r="J29" s="40" t="s">
        <v>75</v>
      </c>
      <c r="K29" s="3">
        <f>C35*C22</f>
        <v>12549.523651096868</v>
      </c>
      <c r="N29" s="40" t="s">
        <v>36</v>
      </c>
      <c r="O29" s="8">
        <f>K56*G40*G41/N17</f>
        <v>0</v>
      </c>
      <c r="P29" s="17"/>
      <c r="Q29" s="17"/>
      <c r="R29" s="17"/>
      <c r="S29" s="27"/>
      <c r="T29" s="27"/>
      <c r="U29" s="14"/>
    </row>
    <row r="30" spans="2:21" ht="17.25" thickBot="1" x14ac:dyDescent="0.35">
      <c r="B30" s="39" t="s">
        <v>39</v>
      </c>
      <c r="C30" s="11">
        <v>395.87396035654837</v>
      </c>
      <c r="F30" s="42" t="s">
        <v>199</v>
      </c>
      <c r="G30" s="99">
        <v>1.8E-3</v>
      </c>
      <c r="J30" s="2" t="s">
        <v>7</v>
      </c>
      <c r="K30" s="3">
        <f>C46*G27*C22</f>
        <v>10601.709751315226</v>
      </c>
      <c r="N30" s="40" t="s">
        <v>37</v>
      </c>
      <c r="O30" s="8">
        <f>K62*G40*G41/N17</f>
        <v>9.307293631136738E-5</v>
      </c>
      <c r="P30" s="17"/>
      <c r="Q30" s="17"/>
      <c r="R30" s="17"/>
      <c r="S30" s="27"/>
      <c r="T30" s="27"/>
      <c r="U30" s="14"/>
    </row>
    <row r="31" spans="2:21" ht="17.25" thickBot="1" x14ac:dyDescent="0.35">
      <c r="B31" s="32"/>
      <c r="F31" s="40" t="s">
        <v>200</v>
      </c>
      <c r="G31" s="99">
        <v>1.9058405555555557E-2</v>
      </c>
      <c r="J31" s="2" t="s">
        <v>8</v>
      </c>
      <c r="K31" s="3">
        <f>K29-K30</f>
        <v>1947.8138997816422</v>
      </c>
      <c r="M31" s="17"/>
      <c r="N31" s="40" t="s">
        <v>87</v>
      </c>
      <c r="O31" s="8">
        <f>K69*G40*G41/N17</f>
        <v>0.23467748140347044</v>
      </c>
      <c r="P31" s="17"/>
      <c r="Q31" s="17"/>
      <c r="R31" s="17"/>
      <c r="S31" s="27"/>
      <c r="T31" s="27"/>
      <c r="U31" s="14"/>
    </row>
    <row r="32" spans="2:21" ht="17.25" thickBot="1" x14ac:dyDescent="0.35">
      <c r="B32" s="4" t="s">
        <v>72</v>
      </c>
      <c r="C32" s="5"/>
      <c r="F32" s="40" t="s">
        <v>201</v>
      </c>
      <c r="G32" s="99">
        <v>1.6585714285714283E-2</v>
      </c>
      <c r="J32" s="6" t="s">
        <v>11</v>
      </c>
      <c r="K32" s="11">
        <f>K31</f>
        <v>1947.8138997816422</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1.4272288845628837E-2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3">
        <v>93.742412746585728</v>
      </c>
      <c r="F35" s="43" t="s">
        <v>204</v>
      </c>
      <c r="G35" s="100">
        <v>1.8778333333333334E-2</v>
      </c>
      <c r="J35" s="40" t="s">
        <v>75</v>
      </c>
      <c r="K35" s="3">
        <f>C36*C23</f>
        <v>247101.92166412319</v>
      </c>
      <c r="N35" s="42" t="s">
        <v>89</v>
      </c>
      <c r="O35" s="8">
        <f>O10/N17</f>
        <v>7.8866163604096123E-2</v>
      </c>
      <c r="P35" s="17"/>
      <c r="Q35" s="17"/>
      <c r="R35" s="17"/>
      <c r="S35" s="17"/>
      <c r="T35" s="17"/>
    </row>
    <row r="36" spans="2:20" ht="17.25" thickBot="1" x14ac:dyDescent="0.35">
      <c r="B36" s="75" t="s">
        <v>34</v>
      </c>
      <c r="C36" s="3">
        <v>154.39926805320005</v>
      </c>
      <c r="J36" s="2" t="s">
        <v>7</v>
      </c>
      <c r="K36" s="3">
        <f>C47*G28*C23</f>
        <v>191943.72662600665</v>
      </c>
      <c r="N36" s="42" t="s">
        <v>90</v>
      </c>
      <c r="O36" s="8">
        <f>O12/N17</f>
        <v>0.14353921235065464</v>
      </c>
      <c r="P36" s="17"/>
      <c r="Q36" s="17"/>
      <c r="R36" s="17"/>
      <c r="S36" s="17"/>
      <c r="T36" s="17"/>
    </row>
    <row r="37" spans="2:20" ht="16.5" x14ac:dyDescent="0.3">
      <c r="B37" s="75" t="s">
        <v>35</v>
      </c>
      <c r="C37" s="3">
        <v>132.34222975988575</v>
      </c>
      <c r="F37" s="4" t="s">
        <v>30</v>
      </c>
      <c r="G37" s="15"/>
      <c r="H37" s="35"/>
      <c r="J37" s="2" t="s">
        <v>8</v>
      </c>
      <c r="K37" s="36">
        <f>K35-K36</f>
        <v>55158.195038116537</v>
      </c>
      <c r="N37" s="42" t="s">
        <v>91</v>
      </c>
      <c r="O37" s="8">
        <f>O14/N17</f>
        <v>0.23775122484976638</v>
      </c>
      <c r="P37" s="17"/>
      <c r="Q37" s="17"/>
      <c r="R37" s="17"/>
      <c r="S37" s="17"/>
      <c r="T37" s="17"/>
    </row>
    <row r="38" spans="2:20" ht="18" thickBot="1" x14ac:dyDescent="0.4">
      <c r="B38" s="40" t="s">
        <v>54</v>
      </c>
      <c r="C38" s="36">
        <v>70</v>
      </c>
      <c r="F38" s="40" t="s">
        <v>68</v>
      </c>
      <c r="G38" s="8">
        <v>0.6</v>
      </c>
      <c r="H38" s="33"/>
      <c r="J38" s="6" t="s">
        <v>11</v>
      </c>
      <c r="K38" s="11">
        <f>K37</f>
        <v>55158.195038116537</v>
      </c>
      <c r="N38" s="50" t="s">
        <v>92</v>
      </c>
      <c r="O38" s="51">
        <f>SUM(O22:O37)</f>
        <v>1.0000000000000002</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3">
        <v>82.713893599928596</v>
      </c>
      <c r="F40" s="40" t="s">
        <v>44</v>
      </c>
      <c r="G40" s="8">
        <v>0.39</v>
      </c>
      <c r="H40" s="34"/>
      <c r="J40" s="102" t="s">
        <v>20</v>
      </c>
      <c r="K40" s="103"/>
      <c r="P40" s="17"/>
      <c r="Q40" s="17"/>
      <c r="R40" s="17"/>
      <c r="S40" s="17"/>
      <c r="T40" s="17"/>
    </row>
    <row r="41" spans="2:20" ht="18" customHeight="1" thickBot="1" x14ac:dyDescent="0.35">
      <c r="B41" s="75" t="s">
        <v>38</v>
      </c>
      <c r="C41" s="3">
        <v>0</v>
      </c>
      <c r="F41" s="39" t="s">
        <v>45</v>
      </c>
      <c r="G41" s="10">
        <v>0.65</v>
      </c>
      <c r="H41" s="34"/>
      <c r="J41" s="40" t="s">
        <v>75</v>
      </c>
      <c r="K41" s="3">
        <f>C24*C37</f>
        <v>7020.8558510523053</v>
      </c>
      <c r="N41" s="17"/>
      <c r="O41" s="17"/>
      <c r="P41" s="17"/>
      <c r="Q41" s="17"/>
      <c r="R41" s="17"/>
      <c r="S41" s="17"/>
      <c r="T41" s="17"/>
    </row>
    <row r="42" spans="2:20" ht="17.25" customHeight="1" x14ac:dyDescent="0.3">
      <c r="B42" s="40" t="s">
        <v>53</v>
      </c>
      <c r="C42" s="36">
        <v>202</v>
      </c>
      <c r="F42" s="31" t="s">
        <v>24</v>
      </c>
      <c r="G42" s="31"/>
      <c r="H42" s="34"/>
      <c r="J42" s="2" t="s">
        <v>7</v>
      </c>
      <c r="K42" s="3">
        <f>C48*G29*C24</f>
        <v>7701.1569068124345</v>
      </c>
      <c r="M42" s="17"/>
      <c r="N42" s="17"/>
      <c r="O42" s="17"/>
      <c r="P42" s="17"/>
      <c r="Q42" s="17"/>
      <c r="R42" s="17"/>
      <c r="S42" s="17"/>
      <c r="T42" s="17"/>
    </row>
    <row r="43" spans="2:20" ht="17.25" thickBot="1" x14ac:dyDescent="0.35">
      <c r="B43" s="39" t="s">
        <v>39</v>
      </c>
      <c r="C43" s="11">
        <v>93.742412746585728</v>
      </c>
      <c r="F43" s="31"/>
      <c r="G43" s="31"/>
      <c r="H43" s="34"/>
      <c r="J43" s="2" t="s">
        <v>8</v>
      </c>
      <c r="K43" s="3">
        <f>K41-K42</f>
        <v>-680.3010557601292</v>
      </c>
      <c r="M43" s="17"/>
      <c r="N43" s="17"/>
      <c r="O43" s="17"/>
      <c r="P43" s="17"/>
      <c r="Q43" s="17"/>
      <c r="R43" s="17"/>
      <c r="S43" s="17"/>
      <c r="T43" s="17"/>
    </row>
    <row r="44" spans="2:20" ht="17.25" thickBot="1" x14ac:dyDescent="0.35">
      <c r="B44" s="32"/>
      <c r="F44" s="31"/>
      <c r="G44" s="31"/>
      <c r="H44" s="34"/>
      <c r="J44" s="6" t="s">
        <v>11</v>
      </c>
      <c r="K44" s="11">
        <f>K43</f>
        <v>-680.3010557601292</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4088.9006622516563</v>
      </c>
      <c r="F46" s="32" t="s">
        <v>24</v>
      </c>
      <c r="H46" s="34"/>
      <c r="J46" s="104" t="s">
        <v>23</v>
      </c>
      <c r="K46" s="103"/>
      <c r="N46" s="17"/>
      <c r="O46" s="17"/>
      <c r="P46" s="17"/>
      <c r="Q46" s="17"/>
      <c r="R46" s="17"/>
      <c r="S46" s="17"/>
      <c r="T46" s="17"/>
    </row>
    <row r="47" spans="2:20" ht="16.5" x14ac:dyDescent="0.3">
      <c r="B47" s="75" t="s">
        <v>34</v>
      </c>
      <c r="C47" s="52">
        <v>8470.5701986754939</v>
      </c>
      <c r="H47" s="34"/>
      <c r="J47" s="40" t="s">
        <v>75</v>
      </c>
      <c r="K47" s="3">
        <f>C25*C38</f>
        <v>0</v>
      </c>
      <c r="N47" s="17"/>
      <c r="O47" s="17"/>
      <c r="P47" s="17"/>
      <c r="Q47" s="17"/>
      <c r="R47" s="17"/>
      <c r="S47" s="17"/>
      <c r="T47" s="17"/>
    </row>
    <row r="48" spans="2:20" ht="16.5" x14ac:dyDescent="0.3">
      <c r="B48" s="75" t="s">
        <v>35</v>
      </c>
      <c r="C48" s="52">
        <v>37461.662987490803</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c r="D50"/>
      <c r="E50"/>
      <c r="H50" s="34"/>
      <c r="J50" s="6" t="s">
        <v>11</v>
      </c>
      <c r="K50" s="11">
        <f>K49</f>
        <v>0</v>
      </c>
      <c r="M50"/>
      <c r="N50" s="17"/>
      <c r="O50" s="17"/>
      <c r="P50" s="17"/>
      <c r="Q50" s="17"/>
      <c r="R50" s="17"/>
      <c r="S50" s="17"/>
      <c r="T50" s="17"/>
    </row>
    <row r="51" spans="2:20" ht="15.75" thickBot="1" x14ac:dyDescent="0.35">
      <c r="B51" s="75" t="s">
        <v>37</v>
      </c>
      <c r="C51" s="52">
        <v>4644.8476821192053</v>
      </c>
      <c r="D51"/>
      <c r="E51"/>
      <c r="H51" s="34"/>
      <c r="J51" s="24"/>
      <c r="K51" s="25"/>
      <c r="M51"/>
      <c r="N51" s="17"/>
      <c r="O51" s="17"/>
      <c r="P51" s="17"/>
      <c r="Q51" s="17"/>
      <c r="R51" s="17"/>
      <c r="S51" s="17"/>
      <c r="T51" s="17"/>
    </row>
    <row r="52" spans="2:20" x14ac:dyDescent="0.3">
      <c r="B52" s="75" t="s">
        <v>38</v>
      </c>
      <c r="C52" s="52">
        <v>2197.7841059602647</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0</v>
      </c>
      <c r="M53"/>
      <c r="N53" s="17"/>
      <c r="O53" s="17"/>
      <c r="P53" s="17"/>
      <c r="Q53" s="17"/>
      <c r="R53" s="17"/>
      <c r="S53" s="17"/>
      <c r="T53" s="17"/>
    </row>
    <row r="54" spans="2:20" ht="17.25" thickBot="1" x14ac:dyDescent="0.35">
      <c r="B54" s="39" t="s">
        <v>39</v>
      </c>
      <c r="C54" s="55">
        <v>4157.497350993377</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589.59200267603319</v>
      </c>
      <c r="M59"/>
      <c r="N59" s="17"/>
      <c r="O59" s="17"/>
      <c r="P59" s="17"/>
      <c r="Q59" s="17"/>
      <c r="R59" s="17"/>
      <c r="S59" s="17"/>
      <c r="T59" s="17"/>
    </row>
    <row r="60" spans="2:20" ht="16.5" x14ac:dyDescent="0.3">
      <c r="D60" s="28"/>
      <c r="E60"/>
      <c r="F60" s="20"/>
      <c r="G60" s="31"/>
      <c r="H60" s="31"/>
      <c r="J60" s="2" t="s">
        <v>7</v>
      </c>
      <c r="K60" s="3">
        <f>C51*G32*C27</f>
        <v>549.13455824612174</v>
      </c>
      <c r="M60"/>
      <c r="N60" s="17"/>
      <c r="O60" s="17"/>
      <c r="P60" s="17"/>
      <c r="Q60" s="30"/>
      <c r="R60" s="17"/>
      <c r="S60" s="17"/>
      <c r="T60" s="17"/>
    </row>
    <row r="61" spans="2:20" ht="16.5" x14ac:dyDescent="0.3">
      <c r="D61" s="28"/>
      <c r="E61"/>
      <c r="F61" s="20"/>
      <c r="G61" s="31"/>
      <c r="H61" s="20"/>
      <c r="J61" s="2" t="s">
        <v>8</v>
      </c>
      <c r="K61" s="3">
        <f>K59-K60</f>
        <v>40.457444429911448</v>
      </c>
      <c r="M61"/>
      <c r="N61" s="17"/>
      <c r="O61" s="17"/>
      <c r="P61" s="17"/>
      <c r="Q61" s="30"/>
      <c r="R61" s="17"/>
      <c r="S61" s="17"/>
      <c r="T61" s="17"/>
    </row>
    <row r="62" spans="2:20" ht="17.25" thickBot="1" x14ac:dyDescent="0.35">
      <c r="D62" s="28"/>
      <c r="E62"/>
      <c r="F62" s="20"/>
      <c r="G62" s="31"/>
      <c r="H62" s="20"/>
      <c r="J62" s="6" t="s">
        <v>11</v>
      </c>
      <c r="K62" s="11">
        <f>K61</f>
        <v>40.457444429911448</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290376.35231292737</v>
      </c>
      <c r="N66" s="17"/>
      <c r="O66" s="17"/>
      <c r="P66" s="30"/>
      <c r="Q66" s="30"/>
      <c r="R66" s="17"/>
      <c r="S66" s="17"/>
      <c r="T66" s="17"/>
    </row>
    <row r="67" spans="4:20" ht="16.5" x14ac:dyDescent="0.3">
      <c r="F67" s="20"/>
      <c r="G67" s="31"/>
      <c r="H67" s="20"/>
      <c r="J67" s="2" t="s">
        <v>7</v>
      </c>
      <c r="K67" s="3">
        <f>C52*G33*C28</f>
        <v>188365.48278293182</v>
      </c>
      <c r="N67" s="17"/>
      <c r="O67" s="17"/>
      <c r="P67" s="30"/>
      <c r="Q67" s="30"/>
      <c r="R67" s="17"/>
      <c r="S67" s="17"/>
      <c r="T67" s="17"/>
    </row>
    <row r="68" spans="4:20" ht="16.5" x14ac:dyDescent="0.3">
      <c r="F68" s="26"/>
      <c r="G68" s="22"/>
      <c r="H68" s="26"/>
      <c r="J68" s="2" t="s">
        <v>8</v>
      </c>
      <c r="K68" s="3">
        <f>(K65+K66)-K67</f>
        <v>102010.86952999554</v>
      </c>
      <c r="N68" s="17"/>
      <c r="O68" s="17"/>
      <c r="P68" s="30"/>
      <c r="Q68" s="30"/>
      <c r="R68" s="17"/>
      <c r="S68" s="17"/>
      <c r="T68" s="17"/>
    </row>
    <row r="69" spans="4:20" ht="17.25" thickBot="1" x14ac:dyDescent="0.35">
      <c r="F69" s="26"/>
      <c r="G69" s="22"/>
      <c r="H69" s="26"/>
      <c r="J69" s="6" t="s">
        <v>11</v>
      </c>
      <c r="K69" s="11">
        <f>K68</f>
        <v>102010.86952999554</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37110.180187369071</v>
      </c>
      <c r="N78" s="17"/>
      <c r="O78" s="17"/>
      <c r="P78" s="17"/>
      <c r="Q78" s="17"/>
      <c r="R78" s="17"/>
      <c r="S78" s="17"/>
      <c r="T78" s="17"/>
    </row>
    <row r="79" spans="4:20" ht="16.5" x14ac:dyDescent="0.3">
      <c r="J79" s="19" t="s">
        <v>14</v>
      </c>
      <c r="K79" s="3">
        <f>C54*G35*C30</f>
        <v>30906.224926647905</v>
      </c>
      <c r="N79" s="17"/>
      <c r="O79" s="17"/>
      <c r="P79" s="17"/>
      <c r="Q79" s="17"/>
      <c r="R79" s="17"/>
      <c r="S79" s="17"/>
      <c r="T79" s="17"/>
    </row>
    <row r="80" spans="4:20" ht="16.5" x14ac:dyDescent="0.3">
      <c r="J80" s="19" t="s">
        <v>15</v>
      </c>
      <c r="K80" s="3">
        <f>K78-K79</f>
        <v>6203.9552607211663</v>
      </c>
      <c r="N80" s="17"/>
      <c r="O80" s="17"/>
      <c r="P80" s="17"/>
      <c r="Q80" s="17"/>
      <c r="R80" s="17"/>
      <c r="S80" s="17"/>
      <c r="T80" s="17"/>
    </row>
    <row r="81" spans="10:20" ht="17.25" thickBot="1" x14ac:dyDescent="0.35">
      <c r="J81" s="21" t="s">
        <v>16</v>
      </c>
      <c r="K81" s="11">
        <f>K78-K79</f>
        <v>6203.9552607211663</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sortState ref="F22:G25">
    <sortCondition ref="F28"/>
  </sortState>
  <mergeCells count="22">
    <mergeCell ref="B6:C6"/>
    <mergeCell ref="F6:G6"/>
    <mergeCell ref="J6:K6"/>
    <mergeCell ref="J8:K8"/>
    <mergeCell ref="J14:K14"/>
    <mergeCell ref="N6:O6"/>
    <mergeCell ref="J34:K34"/>
    <mergeCell ref="J40:K40"/>
    <mergeCell ref="J64:K64"/>
    <mergeCell ref="J28:K28"/>
    <mergeCell ref="J52:K52"/>
    <mergeCell ref="J58:K58"/>
    <mergeCell ref="N21:O21"/>
    <mergeCell ref="J15:K15"/>
    <mergeCell ref="J77:K77"/>
    <mergeCell ref="J26:K26"/>
    <mergeCell ref="J46:K46"/>
    <mergeCell ref="J71:K71"/>
    <mergeCell ref="N16:O16"/>
    <mergeCell ref="N17:O18"/>
    <mergeCell ref="J19:K19"/>
    <mergeCell ref="J27:K27"/>
  </mergeCells>
  <phoneticPr fontId="2" type="noConversion"/>
  <pageMargins left="0.75" right="0.75" top="1" bottom="1" header="0.5" footer="0.5"/>
  <pageSetup scale="7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U86"/>
  <sheetViews>
    <sheetView zoomScale="70" zoomScaleNormal="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98</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222649.59027450049</v>
      </c>
    </row>
    <row r="9" spans="1:15" ht="16.5" x14ac:dyDescent="0.3">
      <c r="B9" s="40" t="s">
        <v>57</v>
      </c>
      <c r="C9" s="58">
        <v>7.1</v>
      </c>
      <c r="F9" s="40" t="s">
        <v>47</v>
      </c>
      <c r="G9" s="8">
        <v>0.35</v>
      </c>
      <c r="J9" s="40" t="s">
        <v>62</v>
      </c>
      <c r="K9" s="3">
        <f>SUM(C22:C30)*C9*G11</f>
        <v>41672.589936476674</v>
      </c>
    </row>
    <row r="10" spans="1:15" ht="16.5" x14ac:dyDescent="0.3">
      <c r="A10" s="32" t="s">
        <v>24</v>
      </c>
      <c r="B10" s="40" t="s">
        <v>80</v>
      </c>
      <c r="C10" s="60">
        <v>5171.1142450902817</v>
      </c>
      <c r="F10" s="40" t="s">
        <v>69</v>
      </c>
      <c r="G10" s="8">
        <v>0.38</v>
      </c>
      <c r="J10" s="40" t="s">
        <v>63</v>
      </c>
      <c r="K10" s="3">
        <f>C16*C9*G10</f>
        <v>1367.0787112287319</v>
      </c>
      <c r="N10" s="16" t="s">
        <v>13</v>
      </c>
      <c r="O10" s="16">
        <f>C11*G15*G38*G39*G41</f>
        <v>23138.032794559684</v>
      </c>
    </row>
    <row r="11" spans="1:15" x14ac:dyDescent="0.3">
      <c r="B11" s="40" t="s">
        <v>163</v>
      </c>
      <c r="C11" s="52">
        <v>18727.364020460765</v>
      </c>
      <c r="F11" s="40" t="s">
        <v>70</v>
      </c>
      <c r="G11" s="8">
        <v>0.38</v>
      </c>
      <c r="J11" s="40" t="s">
        <v>64</v>
      </c>
      <c r="K11" s="3">
        <f>C17*C9</f>
        <v>31412.649511682357</v>
      </c>
      <c r="N11" s="18"/>
      <c r="O11" s="18"/>
    </row>
    <row r="12" spans="1:15" ht="17.25" thickBot="1" x14ac:dyDescent="0.35">
      <c r="B12" s="40" t="s">
        <v>58</v>
      </c>
      <c r="C12" s="52">
        <v>21208000</v>
      </c>
      <c r="F12" s="39" t="s">
        <v>48</v>
      </c>
      <c r="G12" s="10">
        <v>0.38</v>
      </c>
      <c r="J12" s="40" t="s">
        <v>65</v>
      </c>
      <c r="K12" s="3">
        <f>C18*C9*G9</f>
        <v>49755.492339193028</v>
      </c>
      <c r="N12" s="47" t="s">
        <v>81</v>
      </c>
      <c r="O12" s="16">
        <f>C10</f>
        <v>5171.1142450902817</v>
      </c>
    </row>
    <row r="13" spans="1:15" ht="15.75" thickBot="1" x14ac:dyDescent="0.35">
      <c r="B13" s="39" t="s">
        <v>56</v>
      </c>
      <c r="C13" s="55">
        <v>4013.2526309601139</v>
      </c>
      <c r="J13" s="39" t="s">
        <v>66</v>
      </c>
      <c r="K13" s="11">
        <f>C19*C9*G12</f>
        <v>6142.6270262794369</v>
      </c>
      <c r="N13" s="18"/>
      <c r="O13" s="18"/>
    </row>
    <row r="14" spans="1:15" ht="17.25" thickBot="1" x14ac:dyDescent="0.35">
      <c r="C14" s="53"/>
      <c r="F14" s="4" t="s">
        <v>59</v>
      </c>
      <c r="G14" s="5"/>
      <c r="J14" s="106"/>
      <c r="K14" s="106"/>
      <c r="N14" s="47" t="s">
        <v>82</v>
      </c>
      <c r="O14" s="16">
        <f>C9*C13</f>
        <v>28494.093679816808</v>
      </c>
    </row>
    <row r="15" spans="1:15" ht="17.25" thickBot="1" x14ac:dyDescent="0.35">
      <c r="B15" s="4" t="s">
        <v>51</v>
      </c>
      <c r="C15" s="5"/>
      <c r="F15" s="39" t="s">
        <v>71</v>
      </c>
      <c r="G15" s="41">
        <v>4.8</v>
      </c>
      <c r="J15" s="104" t="s">
        <v>61</v>
      </c>
      <c r="K15" s="103"/>
    </row>
    <row r="16" spans="1:15" ht="17.25" thickBot="1" x14ac:dyDescent="0.35">
      <c r="B16" s="40" t="s">
        <v>32</v>
      </c>
      <c r="C16" s="3">
        <v>506.70078251620902</v>
      </c>
      <c r="J16" s="42" t="s">
        <v>77</v>
      </c>
      <c r="K16" s="36">
        <f>C19*C33*G18*(1-G19)</f>
        <v>49580.425778831472</v>
      </c>
      <c r="N16" s="114" t="s">
        <v>93</v>
      </c>
      <c r="O16" s="115"/>
    </row>
    <row r="17" spans="2:21" ht="16.5" thickTop="1" thickBot="1" x14ac:dyDescent="0.35">
      <c r="B17" s="40" t="s">
        <v>40</v>
      </c>
      <c r="C17" s="3">
        <v>4424.316832631318</v>
      </c>
      <c r="F17" s="4" t="s">
        <v>29</v>
      </c>
      <c r="G17" s="5"/>
      <c r="J17" s="43" t="s">
        <v>78</v>
      </c>
      <c r="K17" s="7">
        <f>SUM(K32,K38,K44,K50,K56,K62,K69,K75,K81)</f>
        <v>698371.26795666513</v>
      </c>
      <c r="N17" s="108">
        <f>O8+O10+O12+O14</f>
        <v>279452.83099396725</v>
      </c>
      <c r="O17" s="108"/>
    </row>
    <row r="18" spans="2:21" ht="15.75" thickBot="1" x14ac:dyDescent="0.35">
      <c r="B18" s="40" t="s">
        <v>31</v>
      </c>
      <c r="C18" s="3">
        <v>20022.330921204441</v>
      </c>
      <c r="F18" s="2" t="s">
        <v>1</v>
      </c>
      <c r="G18" s="8">
        <v>0.34</v>
      </c>
      <c r="J18" s="22"/>
      <c r="K18" s="22"/>
      <c r="N18" s="109"/>
      <c r="O18" s="109"/>
    </row>
    <row r="19" spans="2:21" ht="15.75" thickBot="1" x14ac:dyDescent="0.35">
      <c r="B19" s="39" t="s">
        <v>41</v>
      </c>
      <c r="C19" s="11">
        <v>2276.7335160413036</v>
      </c>
      <c r="F19" s="6" t="s">
        <v>2</v>
      </c>
      <c r="G19" s="10">
        <v>0.39</v>
      </c>
      <c r="J19" s="110" t="s">
        <v>67</v>
      </c>
      <c r="K19" s="111"/>
    </row>
    <row r="20" spans="2:21" ht="17.25" thickBot="1" x14ac:dyDescent="0.35">
      <c r="C20" s="53"/>
      <c r="J20" s="2" t="s">
        <v>9</v>
      </c>
      <c r="K20" s="3">
        <f>C12*G23*(1-G24)</f>
        <v>572616</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567.71975705139471</v>
      </c>
      <c r="F22" s="40" t="s">
        <v>43</v>
      </c>
      <c r="G22" s="8">
        <v>0.39</v>
      </c>
      <c r="J22" s="22"/>
      <c r="K22" s="22"/>
      <c r="N22" s="40" t="s">
        <v>84</v>
      </c>
      <c r="O22" s="48">
        <f>SUM(K9:K13)*G40*G41/N17</f>
        <v>0.11824477066494779</v>
      </c>
      <c r="P22" s="17"/>
      <c r="Q22" s="17"/>
      <c r="R22" s="17"/>
      <c r="S22" s="29"/>
      <c r="T22" s="29"/>
      <c r="U22" s="13"/>
    </row>
    <row r="23" spans="2:21" ht="16.5" x14ac:dyDescent="0.35">
      <c r="B23" s="75" t="s">
        <v>34</v>
      </c>
      <c r="C23" s="52">
        <v>6786.9364043011947</v>
      </c>
      <c r="F23" s="40" t="s">
        <v>3</v>
      </c>
      <c r="G23" s="12">
        <v>5.3999999999999999E-2</v>
      </c>
      <c r="J23" s="22"/>
      <c r="K23" s="22"/>
      <c r="N23" s="40" t="s">
        <v>85</v>
      </c>
      <c r="O23" s="49">
        <f>K16*G40*G41/N17</f>
        <v>4.4975883372622219E-2</v>
      </c>
      <c r="P23" s="46"/>
      <c r="Q23" s="46"/>
      <c r="R23" s="46"/>
      <c r="S23" s="29"/>
      <c r="T23" s="27"/>
      <c r="U23" s="14"/>
    </row>
    <row r="24" spans="2:21" x14ac:dyDescent="0.3">
      <c r="B24" s="75" t="s">
        <v>35</v>
      </c>
      <c r="C24" s="52">
        <v>224.97512558629495</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7.4930702597215916E-3</v>
      </c>
      <c r="P25" s="17"/>
      <c r="Q25" s="17"/>
      <c r="R25" s="17"/>
      <c r="S25" s="27"/>
      <c r="T25" s="27"/>
      <c r="U25" s="14"/>
    </row>
    <row r="26" spans="2:21" ht="16.5" x14ac:dyDescent="0.35">
      <c r="B26" s="75" t="s">
        <v>36</v>
      </c>
      <c r="C26" s="52">
        <v>0</v>
      </c>
      <c r="F26" s="2"/>
      <c r="G26" s="3"/>
      <c r="J26" s="107" t="s">
        <v>73</v>
      </c>
      <c r="K26" s="107"/>
      <c r="N26" s="40" t="s">
        <v>34</v>
      </c>
      <c r="O26" s="8">
        <f>K38*G40*G41/N17</f>
        <v>0.21218876755441951</v>
      </c>
      <c r="P26" s="17"/>
      <c r="Q26" s="17"/>
      <c r="R26" s="17"/>
      <c r="S26" s="27"/>
      <c r="T26" s="27"/>
      <c r="U26" s="14"/>
    </row>
    <row r="27" spans="2:21" ht="17.25" thickBot="1" x14ac:dyDescent="0.35">
      <c r="B27" s="75" t="s">
        <v>37</v>
      </c>
      <c r="C27" s="52">
        <v>30.228459358403658</v>
      </c>
      <c r="F27" s="40" t="s">
        <v>196</v>
      </c>
      <c r="G27" s="99">
        <v>1.9367708333333334E-2</v>
      </c>
      <c r="J27" s="106"/>
      <c r="K27" s="106"/>
      <c r="N27" s="40" t="s">
        <v>35</v>
      </c>
      <c r="O27" s="8">
        <f>K44*G40*G41/N17</f>
        <v>-2.6170588520519739E-3</v>
      </c>
      <c r="P27" s="17"/>
      <c r="Q27" s="17"/>
      <c r="R27" s="17"/>
      <c r="S27" s="27"/>
      <c r="T27" s="27"/>
      <c r="U27" s="14"/>
    </row>
    <row r="28" spans="2:21" ht="16.5" x14ac:dyDescent="0.3">
      <c r="B28" s="75" t="s">
        <v>38</v>
      </c>
      <c r="C28" s="52">
        <v>6157.0707464469451</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53219.419789903215</v>
      </c>
      <c r="N29" s="40" t="s">
        <v>36</v>
      </c>
      <c r="O29" s="8">
        <f>K56*G40*G41/N17</f>
        <v>0</v>
      </c>
      <c r="P29" s="17"/>
      <c r="Q29" s="17"/>
      <c r="R29" s="17"/>
      <c r="S29" s="27"/>
      <c r="T29" s="27"/>
      <c r="U29" s="14"/>
    </row>
    <row r="30" spans="2:21" ht="17.25" thickBot="1" x14ac:dyDescent="0.35">
      <c r="B30" s="39" t="s">
        <v>39</v>
      </c>
      <c r="C30" s="55">
        <v>1678.803360657058</v>
      </c>
      <c r="F30" s="42" t="s">
        <v>199</v>
      </c>
      <c r="G30" s="99">
        <v>1.8E-3</v>
      </c>
      <c r="J30" s="2" t="s">
        <v>7</v>
      </c>
      <c r="K30" s="3">
        <f>C46*G27*C22</f>
        <v>44959.223746842465</v>
      </c>
      <c r="N30" s="40" t="s">
        <v>37</v>
      </c>
      <c r="O30" s="8">
        <f>K62*G40*G41/N17</f>
        <v>1.5563626159362197E-4</v>
      </c>
      <c r="P30" s="17"/>
      <c r="Q30" s="17"/>
      <c r="R30" s="17"/>
      <c r="S30" s="27"/>
      <c r="T30" s="27"/>
      <c r="U30" s="14"/>
    </row>
    <row r="31" spans="2:21" ht="17.25" thickBot="1" x14ac:dyDescent="0.35">
      <c r="B31" s="32"/>
      <c r="C31" s="53"/>
      <c r="F31" s="40" t="s">
        <v>200</v>
      </c>
      <c r="G31" s="99">
        <v>1.9058405555555557E-2</v>
      </c>
      <c r="J31" s="2" t="s">
        <v>8</v>
      </c>
      <c r="K31" s="3">
        <f>K29-K30</f>
        <v>8260.1960430607505</v>
      </c>
      <c r="M31" s="17"/>
      <c r="N31" s="40" t="s">
        <v>87</v>
      </c>
      <c r="O31" s="8">
        <f>K69*G40*G41/N17</f>
        <v>0.3924269216526482</v>
      </c>
      <c r="P31" s="17"/>
      <c r="Q31" s="17"/>
      <c r="R31" s="17"/>
      <c r="S31" s="27"/>
      <c r="T31" s="27"/>
      <c r="U31" s="14"/>
    </row>
    <row r="32" spans="2:21" ht="17.25" thickBot="1" x14ac:dyDescent="0.35">
      <c r="B32" s="4" t="s">
        <v>72</v>
      </c>
      <c r="C32" s="5"/>
      <c r="F32" s="40" t="s">
        <v>201</v>
      </c>
      <c r="G32" s="99">
        <v>1.6585714285714283E-2</v>
      </c>
      <c r="J32" s="6" t="s">
        <v>11</v>
      </c>
      <c r="K32" s="11">
        <f>K31</f>
        <v>8260.1960430607505</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2.3866075019777038E-2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6">
        <v>93.742412746585728</v>
      </c>
      <c r="F35" s="43" t="s">
        <v>204</v>
      </c>
      <c r="G35" s="100">
        <v>1.8778333333333334E-2</v>
      </c>
      <c r="J35" s="40" t="s">
        <v>75</v>
      </c>
      <c r="K35" s="3">
        <f>C36*C23</f>
        <v>1047898.0131477219</v>
      </c>
      <c r="N35" s="42" t="s">
        <v>89</v>
      </c>
      <c r="O35" s="8">
        <f>O10/N17</f>
        <v>8.2797632474366237E-2</v>
      </c>
      <c r="P35" s="17"/>
      <c r="Q35" s="17"/>
      <c r="R35" s="17"/>
      <c r="S35" s="17"/>
      <c r="T35" s="17"/>
    </row>
    <row r="36" spans="2:20" ht="17.25" thickBot="1" x14ac:dyDescent="0.35">
      <c r="B36" s="75" t="s">
        <v>34</v>
      </c>
      <c r="C36" s="56">
        <v>154.39926805320005</v>
      </c>
      <c r="J36" s="2" t="s">
        <v>7</v>
      </c>
      <c r="K36" s="3">
        <f>C47*G28*C23</f>
        <v>813985.77725737321</v>
      </c>
      <c r="N36" s="42" t="s">
        <v>90</v>
      </c>
      <c r="O36" s="8">
        <f>O12/N17</f>
        <v>1.8504426048208164E-2</v>
      </c>
      <c r="P36" s="17"/>
      <c r="Q36" s="17"/>
      <c r="R36" s="17"/>
      <c r="S36" s="17"/>
      <c r="T36" s="17"/>
    </row>
    <row r="37" spans="2:20" ht="16.5" x14ac:dyDescent="0.3">
      <c r="B37" s="75" t="s">
        <v>35</v>
      </c>
      <c r="C37" s="56">
        <v>132.34222975988575</v>
      </c>
      <c r="F37" s="4" t="s">
        <v>30</v>
      </c>
      <c r="G37" s="15"/>
      <c r="H37" s="35"/>
      <c r="J37" s="2" t="s">
        <v>8</v>
      </c>
      <c r="K37" s="36">
        <f>K35-K36</f>
        <v>233912.23589034867</v>
      </c>
      <c r="N37" s="42" t="s">
        <v>91</v>
      </c>
      <c r="O37" s="8">
        <f>O14/N17</f>
        <v>0.1019638755437476</v>
      </c>
      <c r="P37" s="17"/>
      <c r="Q37" s="17"/>
      <c r="R37" s="17"/>
      <c r="S37" s="17"/>
      <c r="T37" s="17"/>
    </row>
    <row r="38" spans="2:20" ht="18" thickBot="1" x14ac:dyDescent="0.4">
      <c r="B38" s="40" t="s">
        <v>54</v>
      </c>
      <c r="C38" s="36">
        <v>70</v>
      </c>
      <c r="F38" s="40" t="s">
        <v>68</v>
      </c>
      <c r="G38" s="8">
        <v>0.6</v>
      </c>
      <c r="H38" s="33"/>
      <c r="J38" s="6" t="s">
        <v>11</v>
      </c>
      <c r="K38" s="11">
        <f>K37</f>
        <v>233912.23589034867</v>
      </c>
      <c r="N38" s="50" t="s">
        <v>92</v>
      </c>
      <c r="O38" s="51">
        <f>SUM(O22:O37)</f>
        <v>0.99999999999999989</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29773.709760600599</v>
      </c>
      <c r="N41" s="17"/>
      <c r="O41" s="17"/>
      <c r="P41" s="17"/>
      <c r="Q41" s="17"/>
      <c r="R41" s="17"/>
      <c r="S41" s="17"/>
      <c r="T41" s="17"/>
    </row>
    <row r="42" spans="2:20" ht="17.25" customHeight="1" x14ac:dyDescent="0.3">
      <c r="B42" s="40" t="s">
        <v>53</v>
      </c>
      <c r="C42" s="36">
        <v>202</v>
      </c>
      <c r="F42" s="31" t="s">
        <v>24</v>
      </c>
      <c r="G42" s="31"/>
      <c r="H42" s="34"/>
      <c r="J42" s="2" t="s">
        <v>7</v>
      </c>
      <c r="K42" s="3">
        <f>C48*G29*C24</f>
        <v>32658.697946335298</v>
      </c>
      <c r="M42" s="17"/>
      <c r="N42" s="17"/>
      <c r="O42" s="17"/>
      <c r="P42" s="17"/>
      <c r="Q42" s="17"/>
      <c r="R42" s="17"/>
      <c r="S42" s="17"/>
      <c r="T42" s="17"/>
    </row>
    <row r="43" spans="2:20" ht="17.25" thickBot="1" x14ac:dyDescent="0.35">
      <c r="B43" s="39" t="s">
        <v>39</v>
      </c>
      <c r="C43" s="57">
        <v>93.742412746585728</v>
      </c>
      <c r="F43" s="31"/>
      <c r="G43" s="31"/>
      <c r="H43" s="34"/>
      <c r="J43" s="2" t="s">
        <v>8</v>
      </c>
      <c r="K43" s="3">
        <f>K41-K42</f>
        <v>-2884.9881857346991</v>
      </c>
      <c r="M43" s="17"/>
      <c r="N43" s="17"/>
      <c r="O43" s="17"/>
      <c r="P43" s="17"/>
      <c r="Q43" s="17"/>
      <c r="R43" s="17"/>
      <c r="S43" s="17"/>
      <c r="T43" s="17"/>
    </row>
    <row r="44" spans="2:20" ht="17.25" thickBot="1" x14ac:dyDescent="0.35">
      <c r="B44" s="32"/>
      <c r="C44" s="53"/>
      <c r="F44" s="31"/>
      <c r="G44" s="31"/>
      <c r="H44" s="34"/>
      <c r="J44" s="6" t="s">
        <v>11</v>
      </c>
      <c r="K44" s="11">
        <f>K43</f>
        <v>-2884.9881857346991</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4088.9006622516563</v>
      </c>
      <c r="H46" s="34"/>
      <c r="J46" s="104" t="s">
        <v>23</v>
      </c>
      <c r="K46" s="103"/>
      <c r="N46" s="17"/>
      <c r="O46" s="17"/>
      <c r="P46" s="17"/>
      <c r="Q46" s="17"/>
      <c r="R46" s="17"/>
      <c r="S46" s="17"/>
      <c r="T46" s="17"/>
    </row>
    <row r="47" spans="2:20" ht="16.5" x14ac:dyDescent="0.3">
      <c r="B47" s="75" t="s">
        <v>34</v>
      </c>
      <c r="C47" s="52">
        <v>8470.5701986754939</v>
      </c>
      <c r="H47" s="34"/>
      <c r="J47" s="40" t="s">
        <v>75</v>
      </c>
      <c r="K47" s="3">
        <f>C25*C38</f>
        <v>0</v>
      </c>
      <c r="N47" s="17"/>
      <c r="O47" s="17"/>
      <c r="P47" s="17"/>
      <c r="Q47" s="17"/>
      <c r="R47" s="17"/>
      <c r="S47" s="17"/>
      <c r="T47" s="17"/>
    </row>
    <row r="48" spans="2:20" ht="16.5" x14ac:dyDescent="0.3">
      <c r="B48" s="75" t="s">
        <v>35</v>
      </c>
      <c r="C48" s="52">
        <v>37461.662987490803</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c r="D50"/>
      <c r="E50"/>
      <c r="H50" s="34"/>
      <c r="J50" s="6" t="s">
        <v>11</v>
      </c>
      <c r="K50" s="11">
        <f>K49</f>
        <v>0</v>
      </c>
      <c r="M50"/>
      <c r="N50" s="17"/>
      <c r="O50" s="17"/>
      <c r="P50" s="17"/>
      <c r="Q50" s="17"/>
      <c r="R50" s="17"/>
      <c r="S50" s="17"/>
      <c r="T50" s="17"/>
    </row>
    <row r="51" spans="2:20" ht="15.75" thickBot="1" x14ac:dyDescent="0.35">
      <c r="B51" s="75" t="s">
        <v>37</v>
      </c>
      <c r="C51" s="52">
        <v>4644.8476821192053</v>
      </c>
      <c r="D51"/>
      <c r="E51"/>
      <c r="H51" s="34"/>
      <c r="J51" s="24"/>
      <c r="K51" s="25"/>
      <c r="M51"/>
      <c r="N51" s="17"/>
      <c r="O51" s="17"/>
      <c r="P51" s="17"/>
      <c r="Q51" s="17"/>
      <c r="R51" s="17"/>
      <c r="S51" s="17"/>
      <c r="T51" s="17"/>
    </row>
    <row r="52" spans="2:20" x14ac:dyDescent="0.3">
      <c r="B52" s="75" t="s">
        <v>38</v>
      </c>
      <c r="C52" s="52">
        <v>2197.7841059602647</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0</v>
      </c>
      <c r="M53"/>
      <c r="N53" s="17"/>
      <c r="O53" s="17"/>
      <c r="P53" s="17"/>
      <c r="Q53" s="17"/>
      <c r="R53" s="17"/>
      <c r="S53" s="17"/>
      <c r="T53" s="17"/>
    </row>
    <row r="54" spans="2:20" ht="17.25" thickBot="1" x14ac:dyDescent="0.35">
      <c r="B54" s="39" t="s">
        <v>39</v>
      </c>
      <c r="C54" s="55">
        <v>4157.497350993377</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2500.3135710607662</v>
      </c>
      <c r="M59"/>
      <c r="N59" s="17"/>
      <c r="O59" s="17"/>
      <c r="P59" s="17"/>
      <c r="Q59" s="17"/>
      <c r="R59" s="17"/>
      <c r="S59" s="17"/>
      <c r="T59" s="17"/>
    </row>
    <row r="60" spans="2:20" ht="16.5" x14ac:dyDescent="0.3">
      <c r="D60" s="28"/>
      <c r="E60"/>
      <c r="F60" s="20"/>
      <c r="G60" s="31"/>
      <c r="H60" s="31"/>
      <c r="J60" s="2" t="s">
        <v>7</v>
      </c>
      <c r="K60" s="3">
        <f>C51*G32*C27</f>
        <v>2328.7435753698182</v>
      </c>
      <c r="M60"/>
      <c r="N60" s="17"/>
      <c r="O60" s="17"/>
      <c r="P60" s="17"/>
      <c r="Q60" s="30"/>
      <c r="R60" s="17"/>
      <c r="S60" s="17"/>
      <c r="T60" s="17"/>
    </row>
    <row r="61" spans="2:20" ht="16.5" x14ac:dyDescent="0.3">
      <c r="D61" s="28"/>
      <c r="E61"/>
      <c r="F61" s="20"/>
      <c r="G61" s="31"/>
      <c r="H61" s="20"/>
      <c r="J61" s="2" t="s">
        <v>8</v>
      </c>
      <c r="K61" s="3">
        <f>K59-K60</f>
        <v>171.56999569094796</v>
      </c>
      <c r="M61"/>
      <c r="N61" s="17"/>
      <c r="O61" s="17"/>
      <c r="P61" s="17"/>
      <c r="Q61" s="30"/>
      <c r="R61" s="17"/>
      <c r="S61" s="17"/>
      <c r="T61" s="17"/>
    </row>
    <row r="62" spans="2:20" ht="17.25" thickBot="1" x14ac:dyDescent="0.35">
      <c r="D62" s="28"/>
      <c r="E62"/>
      <c r="F62" s="20"/>
      <c r="G62" s="31"/>
      <c r="H62" s="20"/>
      <c r="J62" s="6" t="s">
        <v>11</v>
      </c>
      <c r="K62" s="11">
        <f>K61</f>
        <v>171.56999569094796</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1231414.1492893891</v>
      </c>
      <c r="N66" s="17"/>
      <c r="O66" s="17"/>
      <c r="P66" s="30"/>
      <c r="Q66" s="30"/>
      <c r="R66" s="17"/>
      <c r="S66" s="17"/>
      <c r="T66" s="17"/>
    </row>
    <row r="67" spans="4:20" ht="16.5" x14ac:dyDescent="0.3">
      <c r="F67" s="20"/>
      <c r="G67" s="31"/>
      <c r="H67" s="20"/>
      <c r="J67" s="2" t="s">
        <v>7</v>
      </c>
      <c r="K67" s="3">
        <f>C52*G33*C28</f>
        <v>798811.33187684347</v>
      </c>
      <c r="N67" s="17"/>
      <c r="O67" s="17"/>
      <c r="P67" s="30"/>
      <c r="Q67" s="30"/>
      <c r="R67" s="17"/>
      <c r="S67" s="17"/>
      <c r="T67" s="17"/>
    </row>
    <row r="68" spans="4:20" ht="16.5" x14ac:dyDescent="0.3">
      <c r="F68" s="26"/>
      <c r="G68" s="22"/>
      <c r="H68" s="26"/>
      <c r="J68" s="2" t="s">
        <v>8</v>
      </c>
      <c r="K68" s="3">
        <f>(K65+K66)-K67</f>
        <v>432602.81741254567</v>
      </c>
      <c r="N68" s="17"/>
      <c r="O68" s="17"/>
      <c r="P68" s="30"/>
      <c r="Q68" s="30"/>
      <c r="R68" s="17"/>
      <c r="S68" s="17"/>
      <c r="T68" s="17"/>
    </row>
    <row r="69" spans="4:20" ht="17.25" thickBot="1" x14ac:dyDescent="0.35">
      <c r="F69" s="26"/>
      <c r="G69" s="22"/>
      <c r="H69" s="26"/>
      <c r="J69" s="6" t="s">
        <v>11</v>
      </c>
      <c r="K69" s="11">
        <f>K68</f>
        <v>432602.81741254567</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157375.07755506915</v>
      </c>
      <c r="N78" s="17"/>
      <c r="O78" s="17"/>
      <c r="P78" s="17"/>
      <c r="Q78" s="17"/>
      <c r="R78" s="17"/>
      <c r="S78" s="17"/>
      <c r="T78" s="17"/>
    </row>
    <row r="79" spans="4:20" ht="16.5" x14ac:dyDescent="0.3">
      <c r="J79" s="19" t="s">
        <v>14</v>
      </c>
      <c r="K79" s="3">
        <f>C54*G35*C30</f>
        <v>131065.64075431532</v>
      </c>
      <c r="N79" s="17"/>
      <c r="O79" s="17"/>
      <c r="P79" s="17"/>
      <c r="Q79" s="17"/>
      <c r="R79" s="17"/>
      <c r="S79" s="17"/>
      <c r="T79" s="17"/>
    </row>
    <row r="80" spans="4:20" ht="16.5" x14ac:dyDescent="0.3">
      <c r="J80" s="19" t="s">
        <v>15</v>
      </c>
      <c r="K80" s="3">
        <f>K78-K79</f>
        <v>26309.436800753829</v>
      </c>
      <c r="N80" s="17"/>
      <c r="O80" s="17"/>
      <c r="P80" s="17"/>
      <c r="Q80" s="17"/>
      <c r="R80" s="17"/>
      <c r="S80" s="17"/>
      <c r="T80" s="17"/>
    </row>
    <row r="81" spans="10:20" ht="17.25" thickBot="1" x14ac:dyDescent="0.35">
      <c r="J81" s="21" t="s">
        <v>16</v>
      </c>
      <c r="K81" s="11">
        <f>K78-K79</f>
        <v>26309.436800753829</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114</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42725.07693693303</v>
      </c>
    </row>
    <row r="9" spans="1:15" ht="16.5" x14ac:dyDescent="0.3">
      <c r="B9" s="40" t="s">
        <v>57</v>
      </c>
      <c r="C9" s="58">
        <v>7.1</v>
      </c>
      <c r="F9" s="40" t="s">
        <v>47</v>
      </c>
      <c r="G9" s="8">
        <v>0.35</v>
      </c>
      <c r="J9" s="40" t="s">
        <v>62</v>
      </c>
      <c r="K9" s="3">
        <f>SUM(C22:C30)*C9*G11</f>
        <v>8014.7721175003107</v>
      </c>
    </row>
    <row r="10" spans="1:15" ht="16.5" x14ac:dyDescent="0.3">
      <c r="A10" s="32" t="s">
        <v>24</v>
      </c>
      <c r="B10" s="40" t="s">
        <v>80</v>
      </c>
      <c r="C10" s="52">
        <v>0</v>
      </c>
      <c r="F10" s="40" t="s">
        <v>69</v>
      </c>
      <c r="G10" s="8">
        <v>0.38</v>
      </c>
      <c r="J10" s="40" t="s">
        <v>63</v>
      </c>
      <c r="K10" s="3">
        <f>C16*C9*G10</f>
        <v>181.14399974718197</v>
      </c>
      <c r="N10" s="16" t="s">
        <v>13</v>
      </c>
      <c r="O10" s="16">
        <f>C11*G15*G38*G39*G41</f>
        <v>2667.2088209495282</v>
      </c>
    </row>
    <row r="11" spans="1:15" x14ac:dyDescent="0.3">
      <c r="B11" s="40" t="s">
        <v>163</v>
      </c>
      <c r="C11" s="52">
        <v>2158.7742982303225</v>
      </c>
      <c r="F11" s="40" t="s">
        <v>70</v>
      </c>
      <c r="G11" s="8">
        <v>0.38</v>
      </c>
      <c r="J11" s="40" t="s">
        <v>64</v>
      </c>
      <c r="K11" s="3">
        <f>C17*C9</f>
        <v>7934.4752534949812</v>
      </c>
      <c r="N11" s="18"/>
      <c r="O11" s="18"/>
    </row>
    <row r="12" spans="1:15" ht="17.25" thickBot="1" x14ac:dyDescent="0.35">
      <c r="B12" s="40" t="s">
        <v>58</v>
      </c>
      <c r="C12" s="52">
        <v>7568000</v>
      </c>
      <c r="F12" s="39" t="s">
        <v>48</v>
      </c>
      <c r="G12" s="10">
        <v>0.38</v>
      </c>
      <c r="J12" s="40" t="s">
        <v>65</v>
      </c>
      <c r="K12" s="3">
        <f>C18*C9*G9</f>
        <v>8089.656643147172</v>
      </c>
      <c r="N12" s="47" t="s">
        <v>81</v>
      </c>
      <c r="O12" s="16">
        <f>C10</f>
        <v>0</v>
      </c>
    </row>
    <row r="13" spans="1:15" ht="15.75" thickBot="1" x14ac:dyDescent="0.35">
      <c r="B13" s="39" t="s">
        <v>56</v>
      </c>
      <c r="C13" s="55">
        <v>1015.9200084557405</v>
      </c>
      <c r="J13" s="39" t="s">
        <v>66</v>
      </c>
      <c r="K13" s="11">
        <f>C19*C9*G12</f>
        <v>1102.8901432328419</v>
      </c>
      <c r="N13" s="18"/>
      <c r="O13" s="18"/>
    </row>
    <row r="14" spans="1:15" ht="17.25" thickBot="1" x14ac:dyDescent="0.35">
      <c r="C14" s="53"/>
      <c r="F14" s="4" t="s">
        <v>59</v>
      </c>
      <c r="G14" s="5"/>
      <c r="J14" s="106"/>
      <c r="K14" s="106"/>
      <c r="N14" s="47" t="s">
        <v>82</v>
      </c>
      <c r="O14" s="16">
        <f>C9*C13</f>
        <v>7213.0320600357572</v>
      </c>
    </row>
    <row r="15" spans="1:15" ht="17.25" thickBot="1" x14ac:dyDescent="0.35">
      <c r="B15" s="4" t="s">
        <v>51</v>
      </c>
      <c r="C15" s="5"/>
      <c r="F15" s="39" t="s">
        <v>71</v>
      </c>
      <c r="G15" s="41">
        <v>4.8</v>
      </c>
      <c r="J15" s="104" t="s">
        <v>61</v>
      </c>
      <c r="K15" s="103"/>
    </row>
    <row r="16" spans="1:15" ht="17.25" thickBot="1" x14ac:dyDescent="0.35">
      <c r="B16" s="40" t="s">
        <v>32</v>
      </c>
      <c r="C16" s="3">
        <v>67.140103686872493</v>
      </c>
      <c r="J16" s="42" t="s">
        <v>77</v>
      </c>
      <c r="K16" s="36">
        <f>C19*C33*G18*(1-G19)</f>
        <v>8902.0158077025935</v>
      </c>
      <c r="N16" s="114" t="s">
        <v>93</v>
      </c>
      <c r="O16" s="115"/>
    </row>
    <row r="17" spans="2:21" ht="16.5" thickTop="1" thickBot="1" x14ac:dyDescent="0.35">
      <c r="B17" s="40" t="s">
        <v>40</v>
      </c>
      <c r="C17" s="3">
        <v>1117.5317258443636</v>
      </c>
      <c r="F17" s="4" t="s">
        <v>29</v>
      </c>
      <c r="G17" s="5"/>
      <c r="J17" s="43" t="s">
        <v>78</v>
      </c>
      <c r="K17" s="7">
        <f>SUM(K32,K38,K44,K50,K56,K62,K69,K75,K81)</f>
        <v>134315.78345897386</v>
      </c>
      <c r="N17" s="108">
        <f>O8+O10+O12+O14</f>
        <v>52605.317817918316</v>
      </c>
      <c r="O17" s="108"/>
    </row>
    <row r="18" spans="2:21" ht="15.75" thickBot="1" x14ac:dyDescent="0.35">
      <c r="B18" s="40" t="s">
        <v>31</v>
      </c>
      <c r="C18" s="3">
        <v>3255.3950274234094</v>
      </c>
      <c r="F18" s="2" t="s">
        <v>1</v>
      </c>
      <c r="G18" s="8">
        <v>0.34</v>
      </c>
      <c r="J18" s="22"/>
      <c r="K18" s="22"/>
      <c r="N18" s="109"/>
      <c r="O18" s="109"/>
    </row>
    <row r="19" spans="2:21" ht="15.75" thickBot="1" x14ac:dyDescent="0.35">
      <c r="B19" s="39" t="s">
        <v>41</v>
      </c>
      <c r="C19" s="11">
        <v>408.78063129460412</v>
      </c>
      <c r="F19" s="6" t="s">
        <v>2</v>
      </c>
      <c r="G19" s="10">
        <v>0.39</v>
      </c>
      <c r="J19" s="110" t="s">
        <v>67</v>
      </c>
      <c r="K19" s="111"/>
    </row>
    <row r="20" spans="2:21" ht="17.25" thickBot="1" x14ac:dyDescent="0.35">
      <c r="C20" s="53"/>
      <c r="J20" s="2" t="s">
        <v>9</v>
      </c>
      <c r="K20" s="3">
        <f>C12*G23*(1-G24)</f>
        <v>204336</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109.18794551299905</v>
      </c>
      <c r="F22" s="40" t="s">
        <v>43</v>
      </c>
      <c r="G22" s="8">
        <v>0.39</v>
      </c>
      <c r="J22" s="22"/>
      <c r="K22" s="22"/>
      <c r="N22" s="40" t="s">
        <v>84</v>
      </c>
      <c r="O22" s="48">
        <f>SUM(K9:K13)*G40*G41/N17</f>
        <v>0.12202881931157158</v>
      </c>
      <c r="P22" s="17"/>
      <c r="Q22" s="17"/>
      <c r="R22" s="17"/>
      <c r="S22" s="29"/>
      <c r="T22" s="29"/>
      <c r="U22" s="13"/>
    </row>
    <row r="23" spans="2:21" ht="16.5" x14ac:dyDescent="0.35">
      <c r="B23" s="75" t="s">
        <v>34</v>
      </c>
      <c r="C23" s="52">
        <v>1305.3124065328986</v>
      </c>
      <c r="F23" s="40" t="s">
        <v>3</v>
      </c>
      <c r="G23" s="12">
        <v>5.3999999999999999E-2</v>
      </c>
      <c r="J23" s="22"/>
      <c r="K23" s="22"/>
      <c r="N23" s="40" t="s">
        <v>85</v>
      </c>
      <c r="O23" s="49">
        <f>K16*G40*G41/N17</f>
        <v>4.2897963568313401E-2</v>
      </c>
      <c r="P23" s="46"/>
      <c r="Q23" s="46"/>
      <c r="R23" s="46"/>
      <c r="S23" s="29"/>
      <c r="T23" s="27"/>
      <c r="U23" s="14"/>
    </row>
    <row r="24" spans="2:21" x14ac:dyDescent="0.3">
      <c r="B24" s="75" t="s">
        <v>35</v>
      </c>
      <c r="C24" s="52">
        <v>43.268833696891583</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7.6556021507856826E-3</v>
      </c>
      <c r="P25" s="17"/>
      <c r="Q25" s="17"/>
      <c r="R25" s="17"/>
      <c r="S25" s="27"/>
      <c r="T25" s="27"/>
      <c r="U25" s="14"/>
    </row>
    <row r="26" spans="2:21" ht="16.5" x14ac:dyDescent="0.35">
      <c r="B26" s="75" t="s">
        <v>36</v>
      </c>
      <c r="C26" s="52">
        <v>0</v>
      </c>
      <c r="F26" s="2"/>
      <c r="G26" s="3"/>
      <c r="J26" s="107" t="s">
        <v>73</v>
      </c>
      <c r="K26" s="107"/>
      <c r="N26" s="40" t="s">
        <v>34</v>
      </c>
      <c r="O26" s="8">
        <f>K38*G40*G41/N17</f>
        <v>0.21679134573102662</v>
      </c>
      <c r="P26" s="17"/>
      <c r="Q26" s="17"/>
      <c r="R26" s="17"/>
      <c r="S26" s="27"/>
      <c r="T26" s="27"/>
      <c r="U26" s="14"/>
    </row>
    <row r="27" spans="2:21" ht="17.25" thickBot="1" x14ac:dyDescent="0.35">
      <c r="B27" s="75" t="s">
        <v>37</v>
      </c>
      <c r="C27" s="52">
        <v>5.8137546428007942</v>
      </c>
      <c r="F27" s="40" t="s">
        <v>196</v>
      </c>
      <c r="G27" s="99">
        <v>1.9367708333333334E-2</v>
      </c>
      <c r="J27" s="106"/>
      <c r="K27" s="106"/>
      <c r="N27" s="40" t="s">
        <v>35</v>
      </c>
      <c r="O27" s="8">
        <f>K44*G40*G41/N17</f>
        <v>-2.673825372250842E-3</v>
      </c>
      <c r="P27" s="17"/>
      <c r="Q27" s="17"/>
      <c r="R27" s="17"/>
      <c r="S27" s="27"/>
      <c r="T27" s="27"/>
      <c r="U27" s="14"/>
    </row>
    <row r="28" spans="2:21" ht="16.5" x14ac:dyDescent="0.3">
      <c r="B28" s="75" t="s">
        <v>38</v>
      </c>
      <c r="C28" s="52">
        <v>1184.1721145559306</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10235.54145523127</v>
      </c>
      <c r="N29" s="40" t="s">
        <v>36</v>
      </c>
      <c r="O29" s="8">
        <f>K56*G40*G41/N17</f>
        <v>0</v>
      </c>
      <c r="P29" s="17"/>
      <c r="Q29" s="17"/>
      <c r="R29" s="17"/>
      <c r="S29" s="27"/>
      <c r="T29" s="27"/>
      <c r="U29" s="14"/>
    </row>
    <row r="30" spans="2:21" ht="17.25" thickBot="1" x14ac:dyDescent="0.35">
      <c r="B30" s="39" t="s">
        <v>39</v>
      </c>
      <c r="C30" s="55">
        <v>322.87953271611826</v>
      </c>
      <c r="F30" s="42" t="s">
        <v>199</v>
      </c>
      <c r="G30" s="99">
        <v>1.8E-3</v>
      </c>
      <c r="J30" s="2" t="s">
        <v>7</v>
      </c>
      <c r="K30" s="3">
        <f>C46*G27*C22</f>
        <v>8646.8811624122573</v>
      </c>
      <c r="N30" s="40" t="s">
        <v>37</v>
      </c>
      <c r="O30" s="8">
        <f>K62*G40*G41/N17</f>
        <v>1.5901216159698017E-4</v>
      </c>
      <c r="P30" s="17"/>
      <c r="Q30" s="17"/>
      <c r="R30" s="17"/>
      <c r="S30" s="27"/>
      <c r="T30" s="27"/>
      <c r="U30" s="14"/>
    </row>
    <row r="31" spans="2:21" ht="17.25" thickBot="1" x14ac:dyDescent="0.35">
      <c r="B31" s="32"/>
      <c r="C31" s="53"/>
      <c r="F31" s="40" t="s">
        <v>200</v>
      </c>
      <c r="G31" s="99">
        <v>1.9058405555555557E-2</v>
      </c>
      <c r="J31" s="2" t="s">
        <v>8</v>
      </c>
      <c r="K31" s="3">
        <f>K29-K30</f>
        <v>1588.6602928190132</v>
      </c>
      <c r="M31" s="17"/>
      <c r="N31" s="40" t="s">
        <v>87</v>
      </c>
      <c r="O31" s="8">
        <f>K69*G40*G41/N17</f>
        <v>0.40093903851127649</v>
      </c>
      <c r="P31" s="17"/>
      <c r="Q31" s="17"/>
      <c r="R31" s="17"/>
      <c r="S31" s="27"/>
      <c r="T31" s="27"/>
      <c r="U31" s="14"/>
    </row>
    <row r="32" spans="2:21" ht="17.25" thickBot="1" x14ac:dyDescent="0.35">
      <c r="B32" s="4" t="s">
        <v>72</v>
      </c>
      <c r="C32" s="5"/>
      <c r="F32" s="40" t="s">
        <v>201</v>
      </c>
      <c r="G32" s="99">
        <v>1.6585714285714283E-2</v>
      </c>
      <c r="J32" s="6" t="s">
        <v>11</v>
      </c>
      <c r="K32" s="11">
        <f>K31</f>
        <v>1588.6602928190132</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2.4383753110438087E-2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6">
        <v>93.742412746585728</v>
      </c>
      <c r="F35" s="43" t="s">
        <v>204</v>
      </c>
      <c r="G35" s="100">
        <v>1.8778333333333334E-2</v>
      </c>
      <c r="J35" s="40" t="s">
        <v>75</v>
      </c>
      <c r="K35" s="3">
        <f>C36*C23</f>
        <v>201539.28014944066</v>
      </c>
      <c r="N35" s="42" t="s">
        <v>89</v>
      </c>
      <c r="O35" s="8">
        <f>O10/N17</f>
        <v>5.0702266074724271E-2</v>
      </c>
      <c r="P35" s="17"/>
      <c r="Q35" s="17"/>
      <c r="R35" s="17"/>
      <c r="S35" s="17"/>
      <c r="T35" s="17"/>
    </row>
    <row r="36" spans="2:20" ht="17.25" thickBot="1" x14ac:dyDescent="0.35">
      <c r="B36" s="75" t="s">
        <v>34</v>
      </c>
      <c r="C36" s="56">
        <v>154.39926805320005</v>
      </c>
      <c r="J36" s="2" t="s">
        <v>7</v>
      </c>
      <c r="K36" s="3">
        <f>C47*G28*C23</f>
        <v>156551.59714212365</v>
      </c>
      <c r="N36" s="42" t="s">
        <v>90</v>
      </c>
      <c r="O36" s="8">
        <f>O12/N17</f>
        <v>0</v>
      </c>
      <c r="P36" s="17"/>
      <c r="Q36" s="17"/>
      <c r="R36" s="17"/>
      <c r="S36" s="17"/>
      <c r="T36" s="17"/>
    </row>
    <row r="37" spans="2:20" ht="16.5" x14ac:dyDescent="0.3">
      <c r="B37" s="75" t="s">
        <v>35</v>
      </c>
      <c r="C37" s="56">
        <v>132.34222975988575</v>
      </c>
      <c r="F37" s="4" t="s">
        <v>30</v>
      </c>
      <c r="G37" s="15"/>
      <c r="H37" s="35"/>
      <c r="J37" s="2" t="s">
        <v>8</v>
      </c>
      <c r="K37" s="36">
        <f>K35-K36</f>
        <v>44987.683007317013</v>
      </c>
      <c r="N37" s="42" t="s">
        <v>91</v>
      </c>
      <c r="O37" s="8">
        <f>O14/N17</f>
        <v>0.13711602475251788</v>
      </c>
      <c r="P37" s="17"/>
      <c r="Q37" s="17"/>
      <c r="R37" s="17"/>
      <c r="S37" s="17"/>
      <c r="T37" s="17"/>
    </row>
    <row r="38" spans="2:20" ht="18" thickBot="1" x14ac:dyDescent="0.4">
      <c r="B38" s="40" t="s">
        <v>54</v>
      </c>
      <c r="C38" s="36">
        <v>70</v>
      </c>
      <c r="F38" s="40" t="s">
        <v>68</v>
      </c>
      <c r="G38" s="8">
        <v>0.6</v>
      </c>
      <c r="H38" s="33"/>
      <c r="J38" s="6" t="s">
        <v>11</v>
      </c>
      <c r="K38" s="11">
        <f>K37</f>
        <v>44987.683007317013</v>
      </c>
      <c r="N38" s="50" t="s">
        <v>92</v>
      </c>
      <c r="O38" s="51">
        <f>SUM(O22:O37)</f>
        <v>1</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5726.2939305563132</v>
      </c>
      <c r="N41" s="17"/>
      <c r="O41" s="17"/>
      <c r="P41" s="17"/>
      <c r="Q41" s="17"/>
      <c r="R41" s="17"/>
      <c r="S41" s="17"/>
      <c r="T41" s="17"/>
    </row>
    <row r="42" spans="2:20" ht="17.25" customHeight="1" x14ac:dyDescent="0.3">
      <c r="B42" s="40" t="s">
        <v>53</v>
      </c>
      <c r="C42" s="36">
        <v>202</v>
      </c>
      <c r="F42" s="31" t="s">
        <v>24</v>
      </c>
      <c r="G42" s="31"/>
      <c r="H42" s="34"/>
      <c r="J42" s="2" t="s">
        <v>7</v>
      </c>
      <c r="K42" s="3">
        <f>C48*G29*C24</f>
        <v>6281.155601155403</v>
      </c>
      <c r="M42" s="17"/>
      <c r="N42" s="17"/>
      <c r="O42" s="17"/>
      <c r="P42" s="17"/>
      <c r="Q42" s="17"/>
      <c r="R42" s="17"/>
      <c r="S42" s="17"/>
      <c r="T42" s="17"/>
    </row>
    <row r="43" spans="2:20" ht="17.25" thickBot="1" x14ac:dyDescent="0.35">
      <c r="B43" s="39" t="s">
        <v>39</v>
      </c>
      <c r="C43" s="57">
        <v>93.742412746585728</v>
      </c>
      <c r="F43" s="31"/>
      <c r="G43" s="31"/>
      <c r="H43" s="34"/>
      <c r="J43" s="2" t="s">
        <v>8</v>
      </c>
      <c r="K43" s="3">
        <f>K41-K42</f>
        <v>-554.86167059908985</v>
      </c>
      <c r="M43" s="17"/>
      <c r="N43" s="17"/>
      <c r="O43" s="17"/>
      <c r="P43" s="17"/>
      <c r="Q43" s="17"/>
      <c r="R43" s="17"/>
      <c r="S43" s="17"/>
      <c r="T43" s="17"/>
    </row>
    <row r="44" spans="2:20" ht="17.25" thickBot="1" x14ac:dyDescent="0.35">
      <c r="B44" s="32"/>
      <c r="C44" s="53"/>
      <c r="F44" s="31"/>
      <c r="G44" s="31"/>
      <c r="H44" s="34"/>
      <c r="J44" s="6" t="s">
        <v>11</v>
      </c>
      <c r="K44" s="11">
        <f>K43</f>
        <v>-554.86167059908985</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4088.9006622516563</v>
      </c>
      <c r="H46" s="34"/>
      <c r="J46" s="104" t="s">
        <v>23</v>
      </c>
      <c r="K46" s="103"/>
      <c r="N46" s="17"/>
      <c r="O46" s="17"/>
      <c r="P46" s="17"/>
      <c r="Q46" s="17"/>
      <c r="R46" s="17"/>
      <c r="S46" s="17"/>
      <c r="T46" s="17"/>
    </row>
    <row r="47" spans="2:20" ht="16.5" x14ac:dyDescent="0.3">
      <c r="B47" s="75" t="s">
        <v>34</v>
      </c>
      <c r="C47" s="52">
        <v>8470.5701986754939</v>
      </c>
      <c r="H47" s="34"/>
      <c r="J47" s="40" t="s">
        <v>75</v>
      </c>
      <c r="K47" s="3">
        <f>C25*C38</f>
        <v>0</v>
      </c>
      <c r="N47" s="17"/>
      <c r="O47" s="17"/>
      <c r="P47" s="17"/>
      <c r="Q47" s="17"/>
      <c r="R47" s="17"/>
      <c r="S47" s="17"/>
      <c r="T47" s="17"/>
    </row>
    <row r="48" spans="2:20" ht="16.5" x14ac:dyDescent="0.3">
      <c r="B48" s="75" t="s">
        <v>35</v>
      </c>
      <c r="C48" s="52">
        <v>37461.662987490803</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c r="D50"/>
      <c r="E50"/>
      <c r="H50" s="34"/>
      <c r="J50" s="6" t="s">
        <v>11</v>
      </c>
      <c r="K50" s="11">
        <f>K49</f>
        <v>0</v>
      </c>
      <c r="M50"/>
      <c r="N50" s="17"/>
      <c r="O50" s="17"/>
      <c r="P50" s="17"/>
      <c r="Q50" s="17"/>
      <c r="R50" s="17"/>
      <c r="S50" s="17"/>
      <c r="T50" s="17"/>
    </row>
    <row r="51" spans="2:20" ht="15.75" thickBot="1" x14ac:dyDescent="0.35">
      <c r="B51" s="75" t="s">
        <v>37</v>
      </c>
      <c r="C51" s="52">
        <v>4644.8476821192053</v>
      </c>
      <c r="D51"/>
      <c r="E51"/>
      <c r="H51" s="34"/>
      <c r="J51" s="24"/>
      <c r="K51" s="25"/>
      <c r="M51"/>
      <c r="N51" s="17"/>
      <c r="O51" s="17"/>
      <c r="P51" s="17"/>
      <c r="Q51" s="17"/>
      <c r="R51" s="17"/>
      <c r="S51" s="17"/>
      <c r="T51" s="17"/>
    </row>
    <row r="52" spans="2:20" x14ac:dyDescent="0.3">
      <c r="B52" s="75" t="s">
        <v>38</v>
      </c>
      <c r="C52" s="52">
        <v>2197.7841059602647</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0</v>
      </c>
      <c r="M53"/>
      <c r="N53" s="17"/>
      <c r="O53" s="17"/>
      <c r="P53" s="17"/>
      <c r="Q53" s="17"/>
      <c r="R53" s="17"/>
      <c r="S53" s="17"/>
      <c r="T53" s="17"/>
    </row>
    <row r="54" spans="2:20" ht="17.25" thickBot="1" x14ac:dyDescent="0.35">
      <c r="B54" s="39" t="s">
        <v>39</v>
      </c>
      <c r="C54" s="55">
        <v>4157.497350993377</v>
      </c>
      <c r="D54" s="28"/>
      <c r="E54"/>
      <c r="H54" s="34"/>
      <c r="J54" s="2" t="s">
        <v>7</v>
      </c>
      <c r="K54" s="3">
        <f>C50*G31*C26</f>
        <v>0</v>
      </c>
      <c r="M54"/>
      <c r="N54" s="17"/>
      <c r="O54" s="17"/>
      <c r="P54" s="17"/>
      <c r="Q54" s="17"/>
      <c r="R54" s="17"/>
      <c r="S54" s="17"/>
      <c r="T54" s="17"/>
    </row>
    <row r="55" spans="2:20" ht="16.5" x14ac:dyDescent="0.3">
      <c r="D55" s="28"/>
      <c r="E55"/>
      <c r="H55" s="34"/>
      <c r="J55" s="2" t="s">
        <v>8</v>
      </c>
      <c r="K55" s="3">
        <f>K53-K54</f>
        <v>0</v>
      </c>
      <c r="M55"/>
      <c r="N55" s="17"/>
      <c r="O55" s="17"/>
      <c r="P55" s="17"/>
      <c r="Q55" s="17"/>
      <c r="R55" s="17"/>
      <c r="S55" s="17"/>
      <c r="T55" s="17"/>
    </row>
    <row r="56" spans="2:20" ht="17.25" thickBot="1" x14ac:dyDescent="0.35">
      <c r="B56" s="27"/>
      <c r="C56" s="27"/>
      <c r="D56" s="28"/>
      <c r="E56"/>
      <c r="H56" s="34"/>
      <c r="J56" s="6" t="s">
        <v>11</v>
      </c>
      <c r="K56" s="11">
        <f>K55</f>
        <v>0</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480.87828294071579</v>
      </c>
      <c r="M59"/>
      <c r="N59" s="17"/>
      <c r="O59" s="17"/>
      <c r="P59" s="17"/>
      <c r="Q59" s="17"/>
      <c r="R59" s="17"/>
      <c r="S59" s="17"/>
      <c r="T59" s="17"/>
    </row>
    <row r="60" spans="2:20" ht="16.5" x14ac:dyDescent="0.3">
      <c r="D60" s="28"/>
      <c r="E60"/>
      <c r="F60" s="20"/>
      <c r="G60" s="31"/>
      <c r="H60" s="31"/>
      <c r="J60" s="2" t="s">
        <v>7</v>
      </c>
      <c r="K60" s="3">
        <f>C51*G32*C27</f>
        <v>447.88070780176776</v>
      </c>
      <c r="M60"/>
      <c r="N60" s="17"/>
      <c r="O60" s="17"/>
      <c r="P60" s="17"/>
      <c r="Q60" s="30"/>
      <c r="R60" s="17"/>
      <c r="S60" s="17"/>
      <c r="T60" s="17"/>
    </row>
    <row r="61" spans="2:20" ht="16.5" x14ac:dyDescent="0.3">
      <c r="D61" s="28"/>
      <c r="E61"/>
      <c r="F61" s="20"/>
      <c r="G61" s="31"/>
      <c r="H61" s="20"/>
      <c r="J61" s="2" t="s">
        <v>8</v>
      </c>
      <c r="K61" s="3">
        <f>K59-K60</f>
        <v>32.997575138948037</v>
      </c>
      <c r="M61"/>
      <c r="N61" s="17"/>
      <c r="O61" s="17"/>
      <c r="P61" s="17"/>
      <c r="Q61" s="30"/>
      <c r="R61" s="17"/>
      <c r="S61" s="17"/>
      <c r="T61" s="17"/>
    </row>
    <row r="62" spans="2:20" ht="17.25" thickBot="1" x14ac:dyDescent="0.35">
      <c r="D62" s="28"/>
      <c r="E62"/>
      <c r="F62" s="20"/>
      <c r="G62" s="31"/>
      <c r="H62" s="20"/>
      <c r="J62" s="6" t="s">
        <v>11</v>
      </c>
      <c r="K62" s="11">
        <f>K61</f>
        <v>32.997575138948037</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236834.42291118612</v>
      </c>
      <c r="N66" s="17"/>
      <c r="O66" s="17"/>
      <c r="P66" s="30"/>
      <c r="Q66" s="30"/>
      <c r="R66" s="17"/>
      <c r="S66" s="17"/>
      <c r="T66" s="17"/>
    </row>
    <row r="67" spans="4:20" ht="16.5" x14ac:dyDescent="0.3">
      <c r="F67" s="20"/>
      <c r="G67" s="31"/>
      <c r="H67" s="20"/>
      <c r="J67" s="2" t="s">
        <v>7</v>
      </c>
      <c r="K67" s="3">
        <f>C52*G33*C28</f>
        <v>153633.13870410016</v>
      </c>
      <c r="N67" s="17"/>
      <c r="O67" s="17"/>
      <c r="P67" s="30"/>
      <c r="Q67" s="30"/>
      <c r="R67" s="17"/>
      <c r="S67" s="17"/>
      <c r="T67" s="17"/>
    </row>
    <row r="68" spans="4:20" ht="16.5" x14ac:dyDescent="0.3">
      <c r="F68" s="26"/>
      <c r="G68" s="22"/>
      <c r="H68" s="26"/>
      <c r="J68" s="2" t="s">
        <v>8</v>
      </c>
      <c r="K68" s="3">
        <f>(K65+K66)-K67</f>
        <v>83201.284207085962</v>
      </c>
      <c r="N68" s="17"/>
      <c r="O68" s="17"/>
      <c r="P68" s="30"/>
      <c r="Q68" s="30"/>
      <c r="R68" s="17"/>
      <c r="S68" s="17"/>
      <c r="T68" s="17"/>
    </row>
    <row r="69" spans="4:20" ht="17.25" thickBot="1" x14ac:dyDescent="0.35">
      <c r="F69" s="26"/>
      <c r="G69" s="22"/>
      <c r="H69" s="26"/>
      <c r="J69" s="6" t="s">
        <v>11</v>
      </c>
      <c r="K69" s="11">
        <f>K68</f>
        <v>83201.284207085962</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30267.506423299088</v>
      </c>
      <c r="N78" s="17"/>
      <c r="O78" s="17"/>
      <c r="P78" s="17"/>
      <c r="Q78" s="17"/>
      <c r="R78" s="17"/>
      <c r="S78" s="17"/>
      <c r="T78" s="17"/>
    </row>
    <row r="79" spans="4:20" ht="16.5" x14ac:dyDescent="0.3">
      <c r="J79" s="19" t="s">
        <v>14</v>
      </c>
      <c r="K79" s="3">
        <f>C54*G35*C30</f>
        <v>25207.486376087058</v>
      </c>
      <c r="N79" s="17"/>
      <c r="O79" s="17"/>
      <c r="P79" s="17"/>
      <c r="Q79" s="17"/>
      <c r="R79" s="17"/>
      <c r="S79" s="17"/>
      <c r="T79" s="17"/>
    </row>
    <row r="80" spans="4:20" ht="16.5" x14ac:dyDescent="0.3">
      <c r="J80" s="19" t="s">
        <v>15</v>
      </c>
      <c r="K80" s="3">
        <f>K78-K79</f>
        <v>5060.0200472120305</v>
      </c>
      <c r="N80" s="17"/>
      <c r="O80" s="17"/>
      <c r="P80" s="17"/>
      <c r="Q80" s="17"/>
      <c r="R80" s="17"/>
      <c r="S80" s="17"/>
      <c r="T80" s="17"/>
    </row>
    <row r="81" spans="10:20" ht="17.25" thickBot="1" x14ac:dyDescent="0.35">
      <c r="J81" s="21" t="s">
        <v>16</v>
      </c>
      <c r="K81" s="11">
        <f>K78-K79</f>
        <v>5060.0200472120305</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115</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19592.759985894216</v>
      </c>
    </row>
    <row r="9" spans="1:15" ht="16.5" x14ac:dyDescent="0.3">
      <c r="B9" s="40" t="s">
        <v>57</v>
      </c>
      <c r="C9" s="58">
        <v>7.1</v>
      </c>
      <c r="F9" s="40" t="s">
        <v>47</v>
      </c>
      <c r="G9" s="8">
        <v>0.35</v>
      </c>
      <c r="J9" s="40" t="s">
        <v>62</v>
      </c>
      <c r="K9" s="3">
        <f>SUM(C22:C30)*C9*G11</f>
        <v>3426.4330199999995</v>
      </c>
    </row>
    <row r="10" spans="1:15" ht="16.5" x14ac:dyDescent="0.3">
      <c r="A10" s="32" t="s">
        <v>24</v>
      </c>
      <c r="B10" s="40" t="s">
        <v>80</v>
      </c>
      <c r="C10" s="52">
        <v>0</v>
      </c>
      <c r="F10" s="40" t="s">
        <v>69</v>
      </c>
      <c r="G10" s="8">
        <v>0.38</v>
      </c>
      <c r="J10" s="40" t="s">
        <v>63</v>
      </c>
      <c r="K10" s="3">
        <f>C16*C9*G10</f>
        <v>73.331639999999993</v>
      </c>
      <c r="N10" s="16" t="s">
        <v>13</v>
      </c>
      <c r="O10" s="16">
        <f>C11*G15*G38*G39*G41</f>
        <v>3291.1109237516011</v>
      </c>
    </row>
    <row r="11" spans="1:15" x14ac:dyDescent="0.3">
      <c r="B11" s="40" t="s">
        <v>163</v>
      </c>
      <c r="C11" s="52">
        <v>2663.7455676570198</v>
      </c>
      <c r="F11" s="40" t="s">
        <v>70</v>
      </c>
      <c r="G11" s="8">
        <v>0.38</v>
      </c>
      <c r="J11" s="40" t="s">
        <v>64</v>
      </c>
      <c r="K11" s="3">
        <f>C17*C9</f>
        <v>6789.375</v>
      </c>
      <c r="N11" s="18"/>
      <c r="O11" s="18"/>
    </row>
    <row r="12" spans="1:15" ht="17.25" thickBot="1" x14ac:dyDescent="0.35">
      <c r="B12" s="40" t="s">
        <v>58</v>
      </c>
      <c r="C12" s="52">
        <v>2200000</v>
      </c>
      <c r="F12" s="39" t="s">
        <v>48</v>
      </c>
      <c r="G12" s="10">
        <v>0.38</v>
      </c>
      <c r="J12" s="40" t="s">
        <v>65</v>
      </c>
      <c r="K12" s="3">
        <f>C18*C9*G9</f>
        <v>4711.6345499999989</v>
      </c>
      <c r="N12" s="47" t="s">
        <v>81</v>
      </c>
      <c r="O12" s="16">
        <f>C10</f>
        <v>0</v>
      </c>
    </row>
    <row r="13" spans="1:15" ht="15.75" thickBot="1" x14ac:dyDescent="0.35">
      <c r="B13" s="39" t="s">
        <v>56</v>
      </c>
      <c r="C13" s="55">
        <v>2523.8753702643412</v>
      </c>
      <c r="J13" s="39" t="s">
        <v>66</v>
      </c>
      <c r="K13" s="11">
        <f>C19*C9*G12</f>
        <v>785.03706000000011</v>
      </c>
      <c r="N13" s="18"/>
      <c r="O13" s="18"/>
    </row>
    <row r="14" spans="1:15" ht="17.25" thickBot="1" x14ac:dyDescent="0.35">
      <c r="C14" s="54"/>
      <c r="F14" s="4" t="s">
        <v>59</v>
      </c>
      <c r="G14" s="5"/>
      <c r="J14" s="106"/>
      <c r="K14" s="106"/>
      <c r="N14" s="47" t="s">
        <v>82</v>
      </c>
      <c r="O14" s="16">
        <f>C9*C13</f>
        <v>17919.515128876821</v>
      </c>
    </row>
    <row r="15" spans="1:15" ht="17.25" thickBot="1" x14ac:dyDescent="0.35">
      <c r="B15" s="4" t="s">
        <v>51</v>
      </c>
      <c r="C15" s="5"/>
      <c r="F15" s="39" t="s">
        <v>71</v>
      </c>
      <c r="G15" s="41">
        <v>4.8</v>
      </c>
      <c r="J15" s="104" t="s">
        <v>61</v>
      </c>
      <c r="K15" s="103"/>
    </row>
    <row r="16" spans="1:15" ht="17.25" thickBot="1" x14ac:dyDescent="0.35">
      <c r="B16" s="40" t="s">
        <v>32</v>
      </c>
      <c r="C16" s="3">
        <v>27.18</v>
      </c>
      <c r="J16" s="42" t="s">
        <v>77</v>
      </c>
      <c r="K16" s="36">
        <f>C19*C33*G18*(1-G19)</f>
        <v>6336.4536900000003</v>
      </c>
      <c r="N16" s="114" t="s">
        <v>93</v>
      </c>
      <c r="O16" s="115"/>
    </row>
    <row r="17" spans="2:21" ht="16.5" thickTop="1" thickBot="1" x14ac:dyDescent="0.35">
      <c r="B17" s="40" t="s">
        <v>40</v>
      </c>
      <c r="C17" s="3">
        <v>956.25</v>
      </c>
      <c r="F17" s="4" t="s">
        <v>29</v>
      </c>
      <c r="G17" s="5"/>
      <c r="J17" s="43" t="s">
        <v>78</v>
      </c>
      <c r="K17" s="7">
        <f>SUM(K32,K38,K44,K50,K56,K62,K69,K75,K81)</f>
        <v>55166.729067196116</v>
      </c>
      <c r="N17" s="108">
        <f>O8+O10+O12+O14</f>
        <v>40803.386038522644</v>
      </c>
      <c r="O17" s="108"/>
    </row>
    <row r="18" spans="2:21" ht="15.75" thickBot="1" x14ac:dyDescent="0.35">
      <c r="B18" s="40" t="s">
        <v>31</v>
      </c>
      <c r="C18" s="3">
        <v>1896.03</v>
      </c>
      <c r="F18" s="2" t="s">
        <v>1</v>
      </c>
      <c r="G18" s="8">
        <v>0.34</v>
      </c>
      <c r="J18" s="22"/>
      <c r="K18" s="22"/>
      <c r="N18" s="109"/>
      <c r="O18" s="109"/>
    </row>
    <row r="19" spans="2:21" ht="15.75" thickBot="1" x14ac:dyDescent="0.35">
      <c r="B19" s="39" t="s">
        <v>41</v>
      </c>
      <c r="C19" s="11">
        <v>290.97000000000003</v>
      </c>
      <c r="F19" s="6" t="s">
        <v>2</v>
      </c>
      <c r="G19" s="10">
        <v>0.39</v>
      </c>
      <c r="J19" s="110" t="s">
        <v>67</v>
      </c>
      <c r="K19" s="111"/>
    </row>
    <row r="20" spans="2:21" ht="17.25" thickBot="1" x14ac:dyDescent="0.35">
      <c r="C20" s="54"/>
      <c r="J20" s="2" t="s">
        <v>9</v>
      </c>
      <c r="K20" s="3">
        <f>C12*G23*(1-G24)</f>
        <v>59400</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25.086222222222222</v>
      </c>
      <c r="F22" s="40" t="s">
        <v>43</v>
      </c>
      <c r="G22" s="8">
        <v>0.39</v>
      </c>
      <c r="J22" s="22"/>
      <c r="K22" s="22"/>
      <c r="N22" s="40" t="s">
        <v>84</v>
      </c>
      <c r="O22" s="48">
        <f>SUM(K9:K13)*G40*G41/N17</f>
        <v>9.8072820553837758E-2</v>
      </c>
      <c r="P22" s="17"/>
      <c r="Q22" s="17"/>
      <c r="R22" s="17"/>
      <c r="S22" s="29"/>
      <c r="T22" s="29"/>
      <c r="U22" s="13"/>
    </row>
    <row r="23" spans="2:21" ht="16.5" x14ac:dyDescent="0.35">
      <c r="B23" s="75" t="s">
        <v>34</v>
      </c>
      <c r="C23" s="52">
        <v>576.98311111111104</v>
      </c>
      <c r="F23" s="40" t="s">
        <v>3</v>
      </c>
      <c r="G23" s="12">
        <v>5.3999999999999999E-2</v>
      </c>
      <c r="J23" s="22"/>
      <c r="K23" s="22"/>
      <c r="N23" s="40" t="s">
        <v>85</v>
      </c>
      <c r="O23" s="49">
        <f>K16*G40*G41/N17</f>
        <v>3.9366610626345923E-2</v>
      </c>
      <c r="P23" s="46"/>
      <c r="Q23" s="46"/>
      <c r="R23" s="46"/>
      <c r="S23" s="29"/>
      <c r="T23" s="27"/>
      <c r="U23" s="14"/>
    </row>
    <row r="24" spans="2:21" x14ac:dyDescent="0.3">
      <c r="B24" s="75" t="s">
        <v>35</v>
      </c>
      <c r="C24" s="52">
        <v>12.543111111111111</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1.3866116765549723E-3</v>
      </c>
      <c r="P25" s="17"/>
      <c r="Q25" s="17"/>
      <c r="R25" s="17"/>
      <c r="S25" s="27"/>
      <c r="T25" s="27"/>
      <c r="U25" s="14"/>
    </row>
    <row r="26" spans="2:21" ht="16.5" x14ac:dyDescent="0.35">
      <c r="B26" s="75" t="s">
        <v>36</v>
      </c>
      <c r="C26" s="52">
        <v>18.81466666666666</v>
      </c>
      <c r="F26" s="2"/>
      <c r="G26" s="3"/>
      <c r="J26" s="107" t="s">
        <v>73</v>
      </c>
      <c r="K26" s="107"/>
      <c r="N26" s="40" t="s">
        <v>34</v>
      </c>
      <c r="O26" s="8">
        <f>K38*G40*G41/N17</f>
        <v>0.13015515383780527</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-2.4001780179622686E-3</v>
      </c>
      <c r="P27" s="17"/>
      <c r="Q27" s="17"/>
      <c r="R27" s="17"/>
      <c r="S27" s="27"/>
      <c r="T27" s="27"/>
      <c r="U27" s="14"/>
    </row>
    <row r="28" spans="2:21" ht="16.5" x14ac:dyDescent="0.3">
      <c r="B28" s="75" t="s">
        <v>38</v>
      </c>
      <c r="C28" s="52">
        <v>504.86022222222221</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2351.6429978081264</v>
      </c>
      <c r="N29" s="40" t="s">
        <v>36</v>
      </c>
      <c r="O29" s="8">
        <f>K56*G40*G41/N17</f>
        <v>3.8035509303625636E-3</v>
      </c>
      <c r="P29" s="17"/>
      <c r="Q29" s="17"/>
      <c r="R29" s="17"/>
      <c r="S29" s="27"/>
      <c r="T29" s="27"/>
      <c r="U29" s="14"/>
    </row>
    <row r="30" spans="2:21" ht="17.25" thickBot="1" x14ac:dyDescent="0.35">
      <c r="B30" s="39" t="s">
        <v>39</v>
      </c>
      <c r="C30" s="55">
        <v>131.70266666666663</v>
      </c>
      <c r="F30" s="42" t="s">
        <v>199</v>
      </c>
      <c r="G30" s="99">
        <v>1.8E-3</v>
      </c>
      <c r="J30" s="2" t="s">
        <v>7</v>
      </c>
      <c r="K30" s="3">
        <f>C46*G27*C22</f>
        <v>2128.4538399225421</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223.18915788558434</v>
      </c>
      <c r="M31" s="17"/>
      <c r="N31" s="40" t="s">
        <v>87</v>
      </c>
      <c r="O31" s="8">
        <f>K69*G40*G41/N17</f>
        <v>0.19555684597475054</v>
      </c>
      <c r="P31" s="17"/>
      <c r="Q31" s="17"/>
      <c r="R31" s="17"/>
      <c r="S31" s="27"/>
      <c r="T31" s="27"/>
      <c r="U31" s="14"/>
    </row>
    <row r="32" spans="2:21" ht="17.25" thickBot="1" x14ac:dyDescent="0.35">
      <c r="B32" s="4" t="s">
        <v>72</v>
      </c>
      <c r="C32" s="5"/>
      <c r="F32" s="40" t="s">
        <v>201</v>
      </c>
      <c r="G32" s="99">
        <v>1.6585714285714283E-2</v>
      </c>
      <c r="J32" s="6" t="s">
        <v>11</v>
      </c>
      <c r="K32" s="11">
        <f>K31</f>
        <v>223.18915788558434</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1.4233439696164141E-2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89085.770034613743</v>
      </c>
      <c r="N35" s="42" t="s">
        <v>89</v>
      </c>
      <c r="O35" s="8">
        <f>O10/N17</f>
        <v>8.0657789543359212E-2</v>
      </c>
      <c r="P35" s="17"/>
      <c r="Q35" s="17"/>
      <c r="R35" s="17"/>
      <c r="S35" s="17"/>
      <c r="T35" s="17"/>
    </row>
    <row r="36" spans="2:20" ht="17.25" thickBot="1" x14ac:dyDescent="0.35">
      <c r="B36" s="75" t="s">
        <v>34</v>
      </c>
      <c r="C36" s="52">
        <v>154.39926805320005</v>
      </c>
      <c r="J36" s="2" t="s">
        <v>7</v>
      </c>
      <c r="K36" s="3">
        <f>C47*G28*C23</f>
        <v>68135.98310385528</v>
      </c>
      <c r="N36" s="42" t="s">
        <v>90</v>
      </c>
      <c r="O36" s="8">
        <f>O12/N17</f>
        <v>0</v>
      </c>
      <c r="P36" s="17"/>
      <c r="Q36" s="17"/>
      <c r="R36" s="17"/>
      <c r="S36" s="17"/>
      <c r="T36" s="17"/>
    </row>
    <row r="37" spans="2:20" ht="16.5" x14ac:dyDescent="0.3">
      <c r="B37" s="75" t="s">
        <v>35</v>
      </c>
      <c r="C37" s="52">
        <v>132.34222975988575</v>
      </c>
      <c r="F37" s="4" t="s">
        <v>30</v>
      </c>
      <c r="G37" s="15"/>
      <c r="H37" s="35"/>
      <c r="J37" s="2" t="s">
        <v>8</v>
      </c>
      <c r="K37" s="36">
        <f>K35-K36</f>
        <v>20949.786930758462</v>
      </c>
      <c r="N37" s="42" t="s">
        <v>91</v>
      </c>
      <c r="O37" s="8">
        <f>O14/N17</f>
        <v>0.4391673551787818</v>
      </c>
      <c r="P37" s="17"/>
      <c r="Q37" s="17"/>
      <c r="R37" s="17"/>
      <c r="S37" s="17"/>
      <c r="T37" s="17"/>
    </row>
    <row r="38" spans="2:20" ht="18" thickBot="1" x14ac:dyDescent="0.4">
      <c r="B38" s="40" t="s">
        <v>54</v>
      </c>
      <c r="C38" s="36">
        <v>70</v>
      </c>
      <c r="F38" s="40" t="s">
        <v>68</v>
      </c>
      <c r="G38" s="8">
        <v>0.6</v>
      </c>
      <c r="H38" s="33"/>
      <c r="J38" s="6" t="s">
        <v>11</v>
      </c>
      <c r="K38" s="11">
        <f>K37</f>
        <v>20949.786930758462</v>
      </c>
      <c r="N38" s="50" t="s">
        <v>92</v>
      </c>
      <c r="O38" s="51">
        <f>SUM(O22:O37)</f>
        <v>0.99999999999999989</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1659.9832925704425</v>
      </c>
      <c r="N41" s="17"/>
      <c r="O41" s="17"/>
      <c r="P41" s="17"/>
      <c r="Q41" s="17"/>
      <c r="R41" s="17"/>
      <c r="S41" s="17"/>
      <c r="T41" s="17"/>
    </row>
    <row r="42" spans="2:20" ht="17.25" customHeight="1" x14ac:dyDescent="0.3">
      <c r="B42" s="40" t="s">
        <v>53</v>
      </c>
      <c r="C42" s="36">
        <v>202</v>
      </c>
      <c r="F42" s="31" t="s">
        <v>24</v>
      </c>
      <c r="G42" s="31"/>
      <c r="H42" s="34"/>
      <c r="J42" s="2" t="s">
        <v>7</v>
      </c>
      <c r="K42" s="3">
        <f>C48*G29*C24</f>
        <v>2046.3161928784921</v>
      </c>
      <c r="M42" s="17"/>
      <c r="N42" s="17"/>
      <c r="O42" s="17"/>
      <c r="P42" s="17"/>
      <c r="Q42" s="17"/>
      <c r="R42" s="17"/>
      <c r="S42" s="17"/>
      <c r="T42" s="17"/>
    </row>
    <row r="43" spans="2:20" ht="17.25" thickBot="1" x14ac:dyDescent="0.35">
      <c r="B43" s="39" t="s">
        <v>39</v>
      </c>
      <c r="C43" s="55">
        <v>93.742412746585728</v>
      </c>
      <c r="F43" s="31"/>
      <c r="G43" s="31"/>
      <c r="H43" s="34"/>
      <c r="J43" s="2" t="s">
        <v>8</v>
      </c>
      <c r="K43" s="3">
        <f>K41-K42</f>
        <v>-386.3329003080496</v>
      </c>
      <c r="M43" s="17"/>
      <c r="N43" s="17"/>
      <c r="O43" s="17"/>
      <c r="P43" s="17"/>
      <c r="Q43" s="17"/>
      <c r="R43" s="17"/>
      <c r="S43" s="17"/>
      <c r="T43" s="17"/>
    </row>
    <row r="44" spans="2:20" ht="17.25" thickBot="1" x14ac:dyDescent="0.35">
      <c r="B44" s="32"/>
      <c r="C44" s="54"/>
      <c r="F44" s="31"/>
      <c r="G44" s="31"/>
      <c r="H44" s="34"/>
      <c r="J44" s="6" t="s">
        <v>11</v>
      </c>
      <c r="K44" s="11">
        <f>K43</f>
        <v>-386.3329003080496</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4380.7728476821194</v>
      </c>
      <c r="H46" s="34"/>
      <c r="J46" s="104" t="s">
        <v>23</v>
      </c>
      <c r="K46" s="103"/>
      <c r="N46" s="17"/>
      <c r="O46" s="17"/>
      <c r="P46" s="17"/>
      <c r="Q46" s="17"/>
      <c r="R46" s="17"/>
      <c r="S46" s="17"/>
      <c r="T46" s="17"/>
    </row>
    <row r="47" spans="2:20" ht="16.5" x14ac:dyDescent="0.3">
      <c r="B47" s="75" t="s">
        <v>34</v>
      </c>
      <c r="C47" s="52">
        <v>8340.3261589403955</v>
      </c>
      <c r="H47" s="34"/>
      <c r="J47" s="40" t="s">
        <v>75</v>
      </c>
      <c r="K47" s="3">
        <f>C25*C38</f>
        <v>0</v>
      </c>
      <c r="N47" s="17"/>
      <c r="O47" s="17"/>
      <c r="P47" s="17"/>
      <c r="Q47" s="17"/>
      <c r="R47" s="17"/>
      <c r="S47" s="17"/>
      <c r="T47" s="17"/>
    </row>
    <row r="48" spans="2:20" ht="16.5" x14ac:dyDescent="0.3">
      <c r="B48" s="75" t="s">
        <v>35</v>
      </c>
      <c r="C48" s="52">
        <v>42100.781824871228</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v>4644.8476821192053</v>
      </c>
      <c r="D51"/>
      <c r="E51"/>
      <c r="H51" s="34"/>
      <c r="J51" s="24"/>
      <c r="K51" s="25"/>
      <c r="M51"/>
      <c r="N51" s="17"/>
      <c r="O51" s="17"/>
      <c r="P51" s="17"/>
      <c r="Q51" s="17"/>
      <c r="R51" s="17"/>
      <c r="S51" s="17"/>
      <c r="T51" s="17"/>
    </row>
    <row r="52" spans="2:20" x14ac:dyDescent="0.3">
      <c r="B52" s="75" t="s">
        <v>38</v>
      </c>
      <c r="C52" s="52">
        <v>2331.8390728476816</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2427.0919999999992</v>
      </c>
      <c r="M53"/>
      <c r="N53" s="17"/>
      <c r="O53" s="17"/>
      <c r="P53" s="17"/>
      <c r="Q53" s="17"/>
      <c r="R53" s="17"/>
      <c r="S53" s="17"/>
      <c r="T53" s="17"/>
    </row>
    <row r="54" spans="2:20" ht="17.25" thickBot="1" x14ac:dyDescent="0.35">
      <c r="B54" s="39" t="s">
        <v>39</v>
      </c>
      <c r="C54" s="55">
        <v>4065.6988410596023</v>
      </c>
      <c r="D54" s="28"/>
      <c r="E54"/>
      <c r="H54" s="34"/>
      <c r="J54" s="2" t="s">
        <v>7</v>
      </c>
      <c r="K54" s="3">
        <f>C50*G31*C26</f>
        <v>1814.8720515630539</v>
      </c>
      <c r="M54"/>
      <c r="N54" s="17"/>
      <c r="O54" s="17"/>
      <c r="P54" s="17"/>
      <c r="Q54" s="17"/>
      <c r="R54" s="17"/>
      <c r="S54" s="17"/>
      <c r="T54" s="17"/>
    </row>
    <row r="55" spans="2:20" ht="16.5" x14ac:dyDescent="0.3">
      <c r="D55" s="28"/>
      <c r="E55"/>
      <c r="H55" s="34"/>
      <c r="J55" s="2" t="s">
        <v>8</v>
      </c>
      <c r="K55" s="3">
        <f>K53-K54</f>
        <v>612.21994843694529</v>
      </c>
      <c r="M55"/>
      <c r="N55" s="17"/>
      <c r="O55" s="17"/>
      <c r="P55" s="17"/>
      <c r="Q55" s="17"/>
      <c r="R55" s="17"/>
      <c r="S55" s="17"/>
      <c r="T55" s="17"/>
    </row>
    <row r="56" spans="2:20" ht="17.25" thickBot="1" x14ac:dyDescent="0.35">
      <c r="B56" s="27"/>
      <c r="C56" s="27"/>
      <c r="D56" s="28"/>
      <c r="E56"/>
      <c r="H56" s="34"/>
      <c r="J56" s="6" t="s">
        <v>11</v>
      </c>
      <c r="K56" s="11">
        <f>K55</f>
        <v>612.21994843694529</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100972.04444444444</v>
      </c>
      <c r="N66" s="17"/>
      <c r="O66" s="17"/>
      <c r="P66" s="30"/>
      <c r="Q66" s="30"/>
      <c r="R66" s="17"/>
      <c r="S66" s="17"/>
      <c r="T66" s="17"/>
    </row>
    <row r="67" spans="4:20" ht="16.5" x14ac:dyDescent="0.3">
      <c r="F67" s="20"/>
      <c r="G67" s="31"/>
      <c r="H67" s="20"/>
      <c r="J67" s="2" t="s">
        <v>7</v>
      </c>
      <c r="K67" s="3">
        <f>C52*G33*C28</f>
        <v>69495.194429518771</v>
      </c>
      <c r="N67" s="17"/>
      <c r="O67" s="17"/>
      <c r="P67" s="30"/>
      <c r="Q67" s="30"/>
      <c r="R67" s="17"/>
      <c r="S67" s="17"/>
      <c r="T67" s="17"/>
    </row>
    <row r="68" spans="4:20" ht="16.5" x14ac:dyDescent="0.3">
      <c r="F68" s="26"/>
      <c r="G68" s="22"/>
      <c r="H68" s="26"/>
      <c r="J68" s="2" t="s">
        <v>8</v>
      </c>
      <c r="K68" s="3">
        <f>(K65+K66)-K67</f>
        <v>31476.850014925672</v>
      </c>
      <c r="N68" s="17"/>
      <c r="O68" s="17"/>
      <c r="P68" s="30"/>
      <c r="Q68" s="30"/>
      <c r="R68" s="17"/>
      <c r="S68" s="17"/>
      <c r="T68" s="17"/>
    </row>
    <row r="69" spans="4:20" ht="17.25" thickBot="1" x14ac:dyDescent="0.35">
      <c r="F69" s="26"/>
      <c r="G69" s="22"/>
      <c r="H69" s="26"/>
      <c r="J69" s="6" t="s">
        <v>11</v>
      </c>
      <c r="K69" s="11">
        <f>K68</f>
        <v>31476.850014925672</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12346.125738492661</v>
      </c>
      <c r="N78" s="17"/>
      <c r="O78" s="17"/>
      <c r="P78" s="17"/>
      <c r="Q78" s="17"/>
      <c r="R78" s="17"/>
      <c r="S78" s="17"/>
      <c r="T78" s="17"/>
    </row>
    <row r="79" spans="4:20" ht="16.5" x14ac:dyDescent="0.3">
      <c r="J79" s="19" t="s">
        <v>14</v>
      </c>
      <c r="K79" s="3">
        <f>C54*G35*C30</f>
        <v>10055.109822995155</v>
      </c>
      <c r="N79" s="17"/>
      <c r="O79" s="17"/>
      <c r="P79" s="17"/>
      <c r="Q79" s="17"/>
      <c r="R79" s="17"/>
      <c r="S79" s="17"/>
      <c r="T79" s="17"/>
    </row>
    <row r="80" spans="4:20" ht="16.5" x14ac:dyDescent="0.3">
      <c r="J80" s="19" t="s">
        <v>15</v>
      </c>
      <c r="K80" s="3">
        <f>K78-K79</f>
        <v>2291.0159154975063</v>
      </c>
      <c r="N80" s="17"/>
      <c r="O80" s="17"/>
      <c r="P80" s="17"/>
      <c r="Q80" s="17"/>
      <c r="R80" s="17"/>
      <c r="S80" s="17"/>
      <c r="T80" s="17"/>
    </row>
    <row r="81" spans="10:20" ht="17.25" thickBot="1" x14ac:dyDescent="0.35">
      <c r="J81" s="21" t="s">
        <v>16</v>
      </c>
      <c r="K81" s="11">
        <f>K78-K79</f>
        <v>2291.0159154975063</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97</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65931.818118118026</v>
      </c>
    </row>
    <row r="9" spans="1:15" ht="16.5" x14ac:dyDescent="0.3">
      <c r="B9" s="40" t="s">
        <v>57</v>
      </c>
      <c r="C9" s="58">
        <v>7.1</v>
      </c>
      <c r="F9" s="40" t="s">
        <v>47</v>
      </c>
      <c r="G9" s="8">
        <v>0.35</v>
      </c>
      <c r="J9" s="40" t="s">
        <v>62</v>
      </c>
      <c r="K9" s="3">
        <f>SUM(C22:C30)*C9*G11</f>
        <v>12304.582554408575</v>
      </c>
    </row>
    <row r="10" spans="1:15" ht="16.5" x14ac:dyDescent="0.3">
      <c r="A10" s="32" t="s">
        <v>24</v>
      </c>
      <c r="B10" s="40" t="s">
        <v>80</v>
      </c>
      <c r="C10" s="61">
        <v>7.1868878450250007</v>
      </c>
      <c r="F10" s="40" t="s">
        <v>69</v>
      </c>
      <c r="G10" s="8">
        <v>0.38</v>
      </c>
      <c r="J10" s="40" t="s">
        <v>63</v>
      </c>
      <c r="K10" s="3">
        <f>C16*C9*G10</f>
        <v>116.06813924819429</v>
      </c>
      <c r="N10" s="16" t="s">
        <v>13</v>
      </c>
      <c r="O10" s="16">
        <f>C11*G15*G38*G39*G41</f>
        <v>3077.6640702847685</v>
      </c>
    </row>
    <row r="11" spans="1:15" x14ac:dyDescent="0.3">
      <c r="B11" s="40" t="s">
        <v>163</v>
      </c>
      <c r="C11" s="52">
        <v>2490.9868478735825</v>
      </c>
      <c r="F11" s="40" t="s">
        <v>70</v>
      </c>
      <c r="G11" s="8">
        <v>0.38</v>
      </c>
      <c r="J11" s="40" t="s">
        <v>64</v>
      </c>
      <c r="K11" s="3">
        <f>C17*C9</f>
        <v>7496.1205765281175</v>
      </c>
      <c r="N11" s="18"/>
      <c r="O11" s="18"/>
    </row>
    <row r="12" spans="1:15" ht="17.25" thickBot="1" x14ac:dyDescent="0.35">
      <c r="B12" s="40" t="s">
        <v>58</v>
      </c>
      <c r="C12" s="52">
        <v>6952000</v>
      </c>
      <c r="F12" s="39" t="s">
        <v>48</v>
      </c>
      <c r="G12" s="10">
        <v>0.38</v>
      </c>
      <c r="J12" s="40" t="s">
        <v>65</v>
      </c>
      <c r="K12" s="3">
        <f>C18*C9*G9</f>
        <v>11035.578992640816</v>
      </c>
      <c r="N12" s="47" t="s">
        <v>81</v>
      </c>
      <c r="O12" s="16">
        <f>C10</f>
        <v>7.1868878450250007</v>
      </c>
    </row>
    <row r="13" spans="1:15" ht="15.75" thickBot="1" x14ac:dyDescent="0.35">
      <c r="B13" s="39" t="s">
        <v>56</v>
      </c>
      <c r="C13" s="55">
        <v>814.02504476410013</v>
      </c>
      <c r="J13" s="39" t="s">
        <v>66</v>
      </c>
      <c r="K13" s="11">
        <f>C19*C9*G12</f>
        <v>3420.1249818217916</v>
      </c>
      <c r="N13" s="18"/>
      <c r="O13" s="18"/>
    </row>
    <row r="14" spans="1:15" ht="17.25" thickBot="1" x14ac:dyDescent="0.35">
      <c r="C14" s="54"/>
      <c r="F14" s="4" t="s">
        <v>59</v>
      </c>
      <c r="G14" s="5"/>
      <c r="J14" s="106"/>
      <c r="K14" s="106"/>
      <c r="N14" s="47" t="s">
        <v>82</v>
      </c>
      <c r="O14" s="16">
        <f>C9*C13</f>
        <v>5779.5778178251103</v>
      </c>
    </row>
    <row r="15" spans="1:15" ht="17.25" thickBot="1" x14ac:dyDescent="0.35">
      <c r="B15" s="4" t="s">
        <v>51</v>
      </c>
      <c r="C15" s="5"/>
      <c r="F15" s="39" t="s">
        <v>71</v>
      </c>
      <c r="G15" s="41">
        <v>4.8</v>
      </c>
      <c r="J15" s="104" t="s">
        <v>61</v>
      </c>
      <c r="K15" s="103"/>
    </row>
    <row r="16" spans="1:15" ht="17.25" thickBot="1" x14ac:dyDescent="0.35">
      <c r="B16" s="40" t="s">
        <v>32</v>
      </c>
      <c r="C16" s="3">
        <v>43.020066437433023</v>
      </c>
      <c r="J16" s="42" t="s">
        <v>77</v>
      </c>
      <c r="K16" s="36">
        <f>C19*C33*G18*(1-G19)</f>
        <v>27605.656682406658</v>
      </c>
      <c r="N16" s="114" t="s">
        <v>93</v>
      </c>
      <c r="O16" s="115"/>
    </row>
    <row r="17" spans="2:21" ht="16.5" thickTop="1" thickBot="1" x14ac:dyDescent="0.35">
      <c r="B17" s="40" t="s">
        <v>40</v>
      </c>
      <c r="C17" s="3">
        <v>1055.7916304969181</v>
      </c>
      <c r="F17" s="4" t="s">
        <v>29</v>
      </c>
      <c r="G17" s="5"/>
      <c r="J17" s="43" t="s">
        <v>78</v>
      </c>
      <c r="K17" s="7">
        <f>SUM(K32,K38,K44,K50,K56,K62,K69,K75,K81)</f>
        <v>198107.93560003865</v>
      </c>
      <c r="N17" s="108">
        <f>O8+O10+O12+O14</f>
        <v>74796.246894072916</v>
      </c>
      <c r="O17" s="108"/>
    </row>
    <row r="18" spans="2:21" ht="15.75" thickBot="1" x14ac:dyDescent="0.35">
      <c r="B18" s="40" t="s">
        <v>31</v>
      </c>
      <c r="C18" s="3">
        <v>4440.87685820556</v>
      </c>
      <c r="F18" s="2" t="s">
        <v>1</v>
      </c>
      <c r="G18" s="8">
        <v>0.34</v>
      </c>
      <c r="J18" s="22"/>
      <c r="K18" s="22"/>
      <c r="N18" s="109"/>
      <c r="O18" s="109"/>
    </row>
    <row r="19" spans="2:21" ht="15.75" thickBot="1" x14ac:dyDescent="0.35">
      <c r="B19" s="39" t="s">
        <v>41</v>
      </c>
      <c r="C19" s="11">
        <v>1267.6519576804269</v>
      </c>
      <c r="F19" s="6" t="s">
        <v>2</v>
      </c>
      <c r="G19" s="10">
        <v>0.39</v>
      </c>
      <c r="J19" s="110" t="s">
        <v>67</v>
      </c>
      <c r="K19" s="111"/>
    </row>
    <row r="20" spans="2:21" ht="17.25" thickBot="1" x14ac:dyDescent="0.35">
      <c r="C20" s="54"/>
      <c r="J20" s="2" t="s">
        <v>9</v>
      </c>
      <c r="K20" s="3">
        <f>C12*G23*(1-G24)</f>
        <v>187704</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90.086539123876477</v>
      </c>
      <c r="F22" s="40" t="s">
        <v>43</v>
      </c>
      <c r="G22" s="8">
        <v>0.39</v>
      </c>
      <c r="J22" s="22"/>
      <c r="K22" s="22"/>
      <c r="N22" s="40" t="s">
        <v>84</v>
      </c>
      <c r="O22" s="48">
        <f>SUM(K9:K13)*G40*G41/N17</f>
        <v>0.11649545045833869</v>
      </c>
      <c r="P22" s="17"/>
      <c r="Q22" s="17"/>
      <c r="R22" s="17"/>
      <c r="S22" s="29"/>
      <c r="T22" s="29"/>
      <c r="U22" s="13"/>
    </row>
    <row r="23" spans="2:21" ht="16.5" x14ac:dyDescent="0.35">
      <c r="B23" s="75" t="s">
        <v>34</v>
      </c>
      <c r="C23" s="52">
        <v>2071.9903998491591</v>
      </c>
      <c r="F23" s="40" t="s">
        <v>3</v>
      </c>
      <c r="G23" s="12">
        <v>5.3999999999999999E-2</v>
      </c>
      <c r="J23" s="22"/>
      <c r="K23" s="22"/>
      <c r="N23" s="40" t="s">
        <v>85</v>
      </c>
      <c r="O23" s="49">
        <f>K16*G40*G41/N17</f>
        <v>9.356129832156905E-2</v>
      </c>
      <c r="P23" s="46"/>
      <c r="Q23" s="46"/>
      <c r="R23" s="46"/>
      <c r="S23" s="29"/>
      <c r="T23" s="27"/>
      <c r="U23" s="14"/>
    </row>
    <row r="24" spans="2:21" x14ac:dyDescent="0.3">
      <c r="B24" s="75" t="s">
        <v>35</v>
      </c>
      <c r="C24" s="52">
        <v>45.043269561938239</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2.7164135521851119E-3</v>
      </c>
      <c r="P25" s="17"/>
      <c r="Q25" s="17"/>
      <c r="R25" s="17"/>
      <c r="S25" s="27"/>
      <c r="T25" s="27"/>
      <c r="U25" s="14"/>
    </row>
    <row r="26" spans="2:21" ht="16.5" x14ac:dyDescent="0.35">
      <c r="B26" s="75" t="s">
        <v>36</v>
      </c>
      <c r="C26" s="52">
        <v>67.564904342907354</v>
      </c>
      <c r="F26" s="2"/>
      <c r="G26" s="3"/>
      <c r="J26" s="107" t="s">
        <v>73</v>
      </c>
      <c r="K26" s="107"/>
      <c r="N26" s="40" t="s">
        <v>34</v>
      </c>
      <c r="O26" s="8">
        <f>K38*G40*G41/N17</f>
        <v>0.25497782093553245</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-4.7020201876909707E-3</v>
      </c>
      <c r="P27" s="17"/>
      <c r="Q27" s="17"/>
      <c r="R27" s="17"/>
      <c r="S27" s="27"/>
      <c r="T27" s="27"/>
      <c r="U27" s="14"/>
    </row>
    <row r="28" spans="2:21" ht="16.5" x14ac:dyDescent="0.3">
      <c r="B28" s="75" t="s">
        <v>38</v>
      </c>
      <c r="C28" s="52">
        <v>1812.9915998680144</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8444.9295334618728</v>
      </c>
      <c r="N29" s="40" t="s">
        <v>36</v>
      </c>
      <c r="O29" s="8">
        <f>K56*G40*G41/N17</f>
        <v>7.4512694998595313E-3</v>
      </c>
      <c r="P29" s="17"/>
      <c r="Q29" s="17"/>
      <c r="R29" s="17"/>
      <c r="S29" s="27"/>
      <c r="T29" s="27"/>
      <c r="U29" s="14"/>
    </row>
    <row r="30" spans="2:21" ht="17.25" thickBot="1" x14ac:dyDescent="0.35">
      <c r="B30" s="39" t="s">
        <v>39</v>
      </c>
      <c r="C30" s="55">
        <v>472.95433040035152</v>
      </c>
      <c r="F30" s="42" t="s">
        <v>199</v>
      </c>
      <c r="G30" s="99">
        <v>1.8E-3</v>
      </c>
      <c r="J30" s="2" t="s">
        <v>7</v>
      </c>
      <c r="K30" s="3">
        <f>C46*G27*C22</f>
        <v>7643.4402288636747</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801.48930459819803</v>
      </c>
      <c r="M31" s="17"/>
      <c r="N31" s="40" t="s">
        <v>87</v>
      </c>
      <c r="O31" s="8">
        <f>K69*G40*G41/N17</f>
        <v>0.38310168276397644</v>
      </c>
      <c r="P31" s="17"/>
      <c r="Q31" s="17"/>
      <c r="R31" s="17"/>
      <c r="S31" s="27"/>
      <c r="T31" s="27"/>
      <c r="U31" s="14"/>
    </row>
    <row r="32" spans="2:21" ht="17.25" thickBot="1" x14ac:dyDescent="0.35">
      <c r="B32" s="4" t="s">
        <v>72</v>
      </c>
      <c r="C32" s="5"/>
      <c r="F32" s="40" t="s">
        <v>201</v>
      </c>
      <c r="G32" s="99">
        <v>1.6585714285714283E-2</v>
      </c>
      <c r="J32" s="6" t="s">
        <v>11</v>
      </c>
      <c r="K32" s="11">
        <f>K31</f>
        <v>801.48930459819803</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2.7883732077700389E-2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319913.80114996748</v>
      </c>
      <c r="N35" s="42" t="s">
        <v>89</v>
      </c>
      <c r="O35" s="8">
        <f>O10/N17</f>
        <v>4.114730615619501E-2</v>
      </c>
      <c r="P35" s="17"/>
      <c r="Q35" s="17"/>
      <c r="R35" s="17"/>
      <c r="S35" s="17"/>
      <c r="T35" s="17"/>
    </row>
    <row r="36" spans="2:20" ht="17.25" thickBot="1" x14ac:dyDescent="0.35">
      <c r="B36" s="75" t="s">
        <v>34</v>
      </c>
      <c r="C36" s="52">
        <v>154.39926805320005</v>
      </c>
      <c r="J36" s="2" t="s">
        <v>7</v>
      </c>
      <c r="K36" s="3">
        <f>C47*G28*C23</f>
        <v>244681.51694007873</v>
      </c>
      <c r="N36" s="42" t="s">
        <v>90</v>
      </c>
      <c r="O36" s="8">
        <f>O12/N17</f>
        <v>9.6086209448491877E-5</v>
      </c>
      <c r="P36" s="17"/>
      <c r="Q36" s="17"/>
      <c r="R36" s="17"/>
      <c r="S36" s="17"/>
      <c r="T36" s="17"/>
    </row>
    <row r="37" spans="2:20" ht="16.5" x14ac:dyDescent="0.3">
      <c r="B37" s="75" t="s">
        <v>35</v>
      </c>
      <c r="C37" s="52">
        <v>132.34222975988575</v>
      </c>
      <c r="F37" s="4" t="s">
        <v>30</v>
      </c>
      <c r="G37" s="15"/>
      <c r="H37" s="35"/>
      <c r="J37" s="2" t="s">
        <v>8</v>
      </c>
      <c r="K37" s="36">
        <f>K35-K36</f>
        <v>75232.284209888749</v>
      </c>
      <c r="N37" s="42" t="s">
        <v>91</v>
      </c>
      <c r="O37" s="8">
        <f>O14/N17</f>
        <v>7.7270960212886056E-2</v>
      </c>
      <c r="P37" s="17"/>
      <c r="Q37" s="17"/>
      <c r="R37" s="17"/>
      <c r="S37" s="17"/>
      <c r="T37" s="17"/>
    </row>
    <row r="38" spans="2:20" ht="18" thickBot="1" x14ac:dyDescent="0.4">
      <c r="B38" s="40" t="s">
        <v>54</v>
      </c>
      <c r="C38" s="36">
        <v>70</v>
      </c>
      <c r="F38" s="40" t="s">
        <v>68</v>
      </c>
      <c r="G38" s="8">
        <v>0.6</v>
      </c>
      <c r="H38" s="33"/>
      <c r="J38" s="6" t="s">
        <v>11</v>
      </c>
      <c r="K38" s="11">
        <f>K37</f>
        <v>75232.284209888749</v>
      </c>
      <c r="N38" s="50" t="s">
        <v>92</v>
      </c>
      <c r="O38" s="51">
        <f>SUM(O22:O37)</f>
        <v>1.0000000000000002</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5961.1267295024991</v>
      </c>
      <c r="N41" s="17"/>
      <c r="O41" s="17"/>
      <c r="P41" s="17"/>
      <c r="Q41" s="17"/>
      <c r="R41" s="17"/>
      <c r="S41" s="17"/>
      <c r="T41" s="17"/>
    </row>
    <row r="42" spans="2:20" ht="17.25" customHeight="1" x14ac:dyDescent="0.3">
      <c r="B42" s="40" t="s">
        <v>53</v>
      </c>
      <c r="C42" s="36">
        <v>202</v>
      </c>
      <c r="F42" s="31" t="s">
        <v>24</v>
      </c>
      <c r="G42" s="31"/>
      <c r="H42" s="34"/>
      <c r="J42" s="2" t="s">
        <v>7</v>
      </c>
      <c r="K42" s="3">
        <f>C48*G29*C24</f>
        <v>7348.4776678040726</v>
      </c>
      <c r="M42" s="17"/>
      <c r="N42" s="17"/>
      <c r="O42" s="17"/>
      <c r="P42" s="17"/>
      <c r="Q42" s="17"/>
      <c r="R42" s="17"/>
      <c r="S42" s="17"/>
      <c r="T42" s="17"/>
    </row>
    <row r="43" spans="2:20" ht="17.25" thickBot="1" x14ac:dyDescent="0.35">
      <c r="B43" s="39" t="s">
        <v>39</v>
      </c>
      <c r="C43" s="55">
        <v>93.742412746585728</v>
      </c>
      <c r="F43" s="31"/>
      <c r="G43" s="31"/>
      <c r="H43" s="34"/>
      <c r="J43" s="2" t="s">
        <v>8</v>
      </c>
      <c r="K43" s="3">
        <f>K41-K42</f>
        <v>-1387.3509383015735</v>
      </c>
      <c r="M43" s="17"/>
      <c r="N43" s="17"/>
      <c r="O43" s="17"/>
      <c r="P43" s="17"/>
      <c r="Q43" s="17"/>
      <c r="R43" s="17"/>
      <c r="S43" s="17"/>
      <c r="T43" s="17"/>
    </row>
    <row r="44" spans="2:20" ht="17.25" thickBot="1" x14ac:dyDescent="0.35">
      <c r="B44" s="32"/>
      <c r="C44" s="54"/>
      <c r="F44" s="31"/>
      <c r="G44" s="31"/>
      <c r="H44" s="34"/>
      <c r="J44" s="6" t="s">
        <v>11</v>
      </c>
      <c r="K44" s="11">
        <f>K43</f>
        <v>-1387.3509383015735</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4380.7728476821194</v>
      </c>
      <c r="H46" s="34"/>
      <c r="J46" s="104" t="s">
        <v>23</v>
      </c>
      <c r="K46" s="103"/>
      <c r="N46" s="17"/>
      <c r="O46" s="17"/>
      <c r="P46" s="17"/>
      <c r="Q46" s="17"/>
      <c r="R46" s="17"/>
      <c r="S46" s="17"/>
      <c r="T46" s="17"/>
    </row>
    <row r="47" spans="2:20" ht="16.5" x14ac:dyDescent="0.3">
      <c r="B47" s="75" t="s">
        <v>34</v>
      </c>
      <c r="C47" s="52">
        <v>8340.3261589403955</v>
      </c>
      <c r="H47" s="34"/>
      <c r="J47" s="40" t="s">
        <v>75</v>
      </c>
      <c r="K47" s="3">
        <f>C25*C38</f>
        <v>0</v>
      </c>
      <c r="N47" s="17"/>
      <c r="O47" s="17"/>
      <c r="P47" s="17"/>
      <c r="Q47" s="17"/>
      <c r="R47" s="17"/>
      <c r="S47" s="17"/>
      <c r="T47" s="17"/>
    </row>
    <row r="48" spans="2:20" ht="16.5" x14ac:dyDescent="0.3">
      <c r="B48" s="75" t="s">
        <v>35</v>
      </c>
      <c r="C48" s="52">
        <v>42100.781824871228</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v>4644.8476821192053</v>
      </c>
      <c r="D51"/>
      <c r="E51"/>
      <c r="H51" s="34"/>
      <c r="J51" s="24"/>
      <c r="K51" s="25"/>
      <c r="M51"/>
      <c r="N51" s="17"/>
      <c r="O51" s="17"/>
      <c r="P51" s="17"/>
      <c r="Q51" s="17"/>
      <c r="R51" s="17"/>
      <c r="S51" s="17"/>
      <c r="T51" s="17"/>
    </row>
    <row r="52" spans="2:20" x14ac:dyDescent="0.3">
      <c r="B52" s="75" t="s">
        <v>38</v>
      </c>
      <c r="C52" s="52">
        <v>2331.8390728476816</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8715.8726602350489</v>
      </c>
      <c r="M53"/>
      <c r="N53" s="17"/>
      <c r="O53" s="17"/>
      <c r="P53" s="17"/>
      <c r="Q53" s="17"/>
      <c r="R53" s="17"/>
      <c r="S53" s="17"/>
      <c r="T53" s="17"/>
    </row>
    <row r="54" spans="2:20" ht="17.25" thickBot="1" x14ac:dyDescent="0.35">
      <c r="B54" s="39" t="s">
        <v>39</v>
      </c>
      <c r="C54" s="55">
        <v>4065.6988410596023</v>
      </c>
      <c r="D54" s="28"/>
      <c r="E54"/>
      <c r="H54" s="34"/>
      <c r="J54" s="2" t="s">
        <v>7</v>
      </c>
      <c r="K54" s="3">
        <f>C50*G31*C26</f>
        <v>6517.3440875101232</v>
      </c>
      <c r="M54"/>
      <c r="N54" s="17"/>
      <c r="O54" s="17"/>
      <c r="P54" s="17"/>
      <c r="Q54" s="17"/>
      <c r="R54" s="17"/>
      <c r="S54" s="17"/>
      <c r="T54" s="17"/>
    </row>
    <row r="55" spans="2:20" ht="16.5" x14ac:dyDescent="0.3">
      <c r="D55" s="28"/>
      <c r="E55"/>
      <c r="H55" s="34"/>
      <c r="J55" s="2" t="s">
        <v>8</v>
      </c>
      <c r="K55" s="3">
        <f>K53-K54</f>
        <v>2198.5285727249257</v>
      </c>
      <c r="M55"/>
      <c r="N55" s="17"/>
      <c r="O55" s="17"/>
      <c r="P55" s="17"/>
      <c r="Q55" s="17"/>
      <c r="R55" s="17"/>
      <c r="S55" s="17"/>
      <c r="T55" s="17"/>
    </row>
    <row r="56" spans="2:20" ht="17.25" thickBot="1" x14ac:dyDescent="0.35">
      <c r="B56" s="27"/>
      <c r="C56" s="27"/>
      <c r="D56" s="28"/>
      <c r="E56"/>
      <c r="H56" s="34"/>
      <c r="J56" s="6" t="s">
        <v>11</v>
      </c>
      <c r="K56" s="11">
        <f>K55</f>
        <v>2198.5285727249257</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362598.31997360289</v>
      </c>
      <c r="N66" s="17"/>
      <c r="O66" s="17"/>
      <c r="P66" s="30"/>
      <c r="Q66" s="30"/>
      <c r="R66" s="17"/>
      <c r="S66" s="17"/>
      <c r="T66" s="17"/>
    </row>
    <row r="67" spans="4:20" ht="16.5" x14ac:dyDescent="0.3">
      <c r="F67" s="20"/>
      <c r="G67" s="31"/>
      <c r="H67" s="20"/>
      <c r="J67" s="2" t="s">
        <v>7</v>
      </c>
      <c r="K67" s="3">
        <f>C52*G33*C28</f>
        <v>249562.54857498681</v>
      </c>
      <c r="N67" s="17"/>
      <c r="O67" s="17"/>
      <c r="P67" s="30"/>
      <c r="Q67" s="30"/>
      <c r="R67" s="17"/>
      <c r="S67" s="17"/>
      <c r="T67" s="17"/>
    </row>
    <row r="68" spans="4:20" ht="16.5" x14ac:dyDescent="0.3">
      <c r="F68" s="26"/>
      <c r="G68" s="22"/>
      <c r="H68" s="26"/>
      <c r="J68" s="2" t="s">
        <v>8</v>
      </c>
      <c r="K68" s="3">
        <f>(K65+K66)-K67</f>
        <v>113035.77139861608</v>
      </c>
      <c r="N68" s="17"/>
      <c r="O68" s="17"/>
      <c r="P68" s="30"/>
      <c r="Q68" s="30"/>
      <c r="R68" s="17"/>
      <c r="S68" s="17"/>
      <c r="T68" s="17"/>
    </row>
    <row r="69" spans="4:20" ht="17.25" thickBot="1" x14ac:dyDescent="0.35">
      <c r="F69" s="26"/>
      <c r="G69" s="22"/>
      <c r="H69" s="26"/>
      <c r="J69" s="6" t="s">
        <v>11</v>
      </c>
      <c r="K69" s="11">
        <f>K68</f>
        <v>113035.77139861608</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44335.88005067483</v>
      </c>
      <c r="N78" s="17"/>
      <c r="O78" s="17"/>
      <c r="P78" s="17"/>
      <c r="Q78" s="17"/>
      <c r="R78" s="17"/>
      <c r="S78" s="17"/>
      <c r="T78" s="17"/>
    </row>
    <row r="79" spans="4:20" ht="16.5" x14ac:dyDescent="0.3">
      <c r="J79" s="19" t="s">
        <v>14</v>
      </c>
      <c r="K79" s="3">
        <f>C54*G35*C30</f>
        <v>36108.666998162567</v>
      </c>
      <c r="N79" s="17"/>
      <c r="O79" s="17"/>
      <c r="P79" s="17"/>
      <c r="Q79" s="17"/>
      <c r="R79" s="17"/>
      <c r="S79" s="17"/>
      <c r="T79" s="17"/>
    </row>
    <row r="80" spans="4:20" ht="16.5" x14ac:dyDescent="0.3">
      <c r="J80" s="19" t="s">
        <v>15</v>
      </c>
      <c r="K80" s="3">
        <f>K78-K79</f>
        <v>8227.2130525122629</v>
      </c>
      <c r="N80" s="17"/>
      <c r="O80" s="17"/>
      <c r="P80" s="17"/>
      <c r="Q80" s="17"/>
      <c r="R80" s="17"/>
      <c r="S80" s="17"/>
      <c r="T80" s="17"/>
    </row>
    <row r="81" spans="10:20" ht="17.25" thickBot="1" x14ac:dyDescent="0.35">
      <c r="J81" s="21" t="s">
        <v>16</v>
      </c>
      <c r="K81" s="11">
        <f>K78-K79</f>
        <v>8227.2130525122629</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2:U86"/>
  <sheetViews>
    <sheetView zoomScale="70" workbookViewId="0"/>
  </sheetViews>
  <sheetFormatPr defaultColWidth="9" defaultRowHeight="15" x14ac:dyDescent="0.3"/>
  <cols>
    <col min="1" max="1" width="9" style="1"/>
    <col min="2" max="2" width="36.375" style="1" bestFit="1" customWidth="1"/>
    <col min="3" max="3" width="12.125" style="1" bestFit="1" customWidth="1"/>
    <col min="4" max="5" width="9" style="1"/>
    <col min="6" max="6" width="32.875" style="1" bestFit="1" customWidth="1"/>
    <col min="7" max="7" width="9.25" style="1" bestFit="1" customWidth="1"/>
    <col min="8" max="9" width="9" style="1"/>
    <col min="10" max="10" width="27.625" style="1" customWidth="1"/>
    <col min="11" max="11" width="9.25" style="1" bestFit="1" customWidth="1"/>
    <col min="12" max="13" width="9" style="1"/>
    <col min="14" max="14" width="40.125" style="1" customWidth="1"/>
    <col min="15" max="15" width="9.125" style="1" bestFit="1" customWidth="1"/>
    <col min="16" max="16" width="9" style="1"/>
    <col min="17" max="17" width="40" style="1" bestFit="1" customWidth="1"/>
    <col min="18" max="18" width="9" style="1"/>
    <col min="19" max="19" width="17.75" style="1" bestFit="1" customWidth="1"/>
    <col min="20" max="20" width="10.5" style="1" bestFit="1" customWidth="1"/>
    <col min="21" max="16384" width="9" style="1"/>
  </cols>
  <sheetData>
    <row r="2" spans="1:15" s="38" customFormat="1" ht="22.5" x14ac:dyDescent="0.45">
      <c r="B2" s="37" t="s">
        <v>17</v>
      </c>
    </row>
    <row r="3" spans="1:15" ht="22.5" x14ac:dyDescent="0.45">
      <c r="B3" s="37" t="s">
        <v>96</v>
      </c>
    </row>
    <row r="5" spans="1:15" x14ac:dyDescent="0.3">
      <c r="N5" s="22"/>
      <c r="O5" s="22"/>
    </row>
    <row r="6" spans="1:15" ht="16.5" x14ac:dyDescent="0.35">
      <c r="B6" s="107" t="s">
        <v>192</v>
      </c>
      <c r="C6" s="107"/>
      <c r="F6" s="107" t="s">
        <v>0</v>
      </c>
      <c r="G6" s="107"/>
      <c r="J6" s="107" t="s">
        <v>60</v>
      </c>
      <c r="K6" s="107"/>
      <c r="N6" s="107" t="s">
        <v>26</v>
      </c>
      <c r="O6" s="107"/>
    </row>
    <row r="7" spans="1:15" ht="15.75" thickBot="1" x14ac:dyDescent="0.35"/>
    <row r="8" spans="1:15" ht="16.5" x14ac:dyDescent="0.3">
      <c r="B8" s="4" t="s">
        <v>55</v>
      </c>
      <c r="C8" s="5"/>
      <c r="F8" s="4" t="s">
        <v>50</v>
      </c>
      <c r="G8" s="5"/>
      <c r="J8" s="104" t="s">
        <v>49</v>
      </c>
      <c r="K8" s="103"/>
      <c r="N8" s="16" t="s">
        <v>12</v>
      </c>
      <c r="O8" s="16">
        <f>(K9+K10+K11+K12+K13+K16+K17+K21)*G40*G41</f>
        <v>16112.662757959864</v>
      </c>
    </row>
    <row r="9" spans="1:15" ht="16.5" x14ac:dyDescent="0.3">
      <c r="B9" s="40" t="s">
        <v>57</v>
      </c>
      <c r="C9" s="58">
        <v>7.1</v>
      </c>
      <c r="F9" s="40" t="s">
        <v>47</v>
      </c>
      <c r="G9" s="8">
        <v>0.35</v>
      </c>
      <c r="J9" s="40" t="s">
        <v>62</v>
      </c>
      <c r="K9" s="3">
        <f>SUM(C22:C30)*C9*G11</f>
        <v>1995.497841718955</v>
      </c>
    </row>
    <row r="10" spans="1:15" ht="16.5" x14ac:dyDescent="0.3">
      <c r="A10" s="32" t="s">
        <v>24</v>
      </c>
      <c r="B10" s="40" t="s">
        <v>80</v>
      </c>
      <c r="C10" s="52">
        <v>0</v>
      </c>
      <c r="F10" s="40" t="s">
        <v>69</v>
      </c>
      <c r="G10" s="8">
        <v>0.38</v>
      </c>
      <c r="J10" s="40" t="s">
        <v>63</v>
      </c>
      <c r="K10" s="3">
        <f>C16*C9*G10</f>
        <v>83.28738862370426</v>
      </c>
      <c r="N10" s="16" t="s">
        <v>13</v>
      </c>
      <c r="O10" s="16">
        <f>C11*G15*G38*G39*G41</f>
        <v>1972.3378085773797</v>
      </c>
    </row>
    <row r="11" spans="1:15" x14ac:dyDescent="0.3">
      <c r="B11" s="40" t="s">
        <v>163</v>
      </c>
      <c r="C11" s="52">
        <v>1596.362510179827</v>
      </c>
      <c r="F11" s="40" t="s">
        <v>70</v>
      </c>
      <c r="G11" s="8">
        <v>0.38</v>
      </c>
      <c r="J11" s="40" t="s">
        <v>64</v>
      </c>
      <c r="K11" s="3">
        <f>C17*C9</f>
        <v>3671.699670337614</v>
      </c>
      <c r="N11" s="18"/>
      <c r="O11" s="18"/>
    </row>
    <row r="12" spans="1:15" ht="17.25" thickBot="1" x14ac:dyDescent="0.35">
      <c r="B12" s="40" t="s">
        <v>58</v>
      </c>
      <c r="C12" s="52">
        <v>704000</v>
      </c>
      <c r="F12" s="39" t="s">
        <v>48</v>
      </c>
      <c r="G12" s="10">
        <v>0.38</v>
      </c>
      <c r="J12" s="40" t="s">
        <v>65</v>
      </c>
      <c r="K12" s="3">
        <f>C18*C9*G9</f>
        <v>4522.6572845020082</v>
      </c>
      <c r="N12" s="47" t="s">
        <v>81</v>
      </c>
      <c r="O12" s="16">
        <f>C10</f>
        <v>0</v>
      </c>
    </row>
    <row r="13" spans="1:15" ht="15.75" thickBot="1" x14ac:dyDescent="0.35">
      <c r="B13" s="39" t="s">
        <v>56</v>
      </c>
      <c r="C13" s="55">
        <v>410.31959999999998</v>
      </c>
      <c r="J13" s="39" t="s">
        <v>66</v>
      </c>
      <c r="K13" s="11">
        <f>C19*C9*G12</f>
        <v>2387.8955677128506</v>
      </c>
      <c r="N13" s="18"/>
      <c r="O13" s="18"/>
    </row>
    <row r="14" spans="1:15" ht="17.25" thickBot="1" x14ac:dyDescent="0.35">
      <c r="C14" s="54"/>
      <c r="F14" s="4" t="s">
        <v>59</v>
      </c>
      <c r="G14" s="5"/>
      <c r="J14" s="106"/>
      <c r="K14" s="106"/>
      <c r="N14" s="47" t="s">
        <v>82</v>
      </c>
      <c r="O14" s="16">
        <f>C9*C13</f>
        <v>2913.2691599999998</v>
      </c>
    </row>
    <row r="15" spans="1:15" ht="17.25" thickBot="1" x14ac:dyDescent="0.35">
      <c r="B15" s="4" t="s">
        <v>51</v>
      </c>
      <c r="C15" s="5"/>
      <c r="F15" s="39" t="s">
        <v>71</v>
      </c>
      <c r="G15" s="41">
        <v>4.8</v>
      </c>
      <c r="J15" s="104" t="s">
        <v>61</v>
      </c>
      <c r="K15" s="103"/>
    </row>
    <row r="16" spans="1:15" ht="17.25" thickBot="1" x14ac:dyDescent="0.35">
      <c r="B16" s="40" t="s">
        <v>32</v>
      </c>
      <c r="C16" s="3">
        <v>30.870047673722855</v>
      </c>
      <c r="J16" s="42" t="s">
        <v>77</v>
      </c>
      <c r="K16" s="36">
        <f>C19*C33*G18*(1-G19)</f>
        <v>19273.981385501389</v>
      </c>
      <c r="N16" s="114" t="s">
        <v>93</v>
      </c>
      <c r="O16" s="115"/>
    </row>
    <row r="17" spans="2:21" ht="16.5" thickTop="1" thickBot="1" x14ac:dyDescent="0.35">
      <c r="B17" s="40" t="s">
        <v>40</v>
      </c>
      <c r="C17" s="3">
        <v>517.14079863910058</v>
      </c>
      <c r="F17" s="4" t="s">
        <v>29</v>
      </c>
      <c r="G17" s="5"/>
      <c r="J17" s="43" t="s">
        <v>78</v>
      </c>
      <c r="K17" s="7">
        <f>SUM(K32,K38,K44,K50,K56,K62,K69,K75,K81)</f>
        <v>31625.780695764675</v>
      </c>
      <c r="N17" s="108">
        <f>O8+O10+O12+O14</f>
        <v>20998.269726537244</v>
      </c>
      <c r="O17" s="108"/>
    </row>
    <row r="18" spans="2:21" ht="15.75" thickBot="1" x14ac:dyDescent="0.35">
      <c r="B18" s="40" t="s">
        <v>31</v>
      </c>
      <c r="C18" s="3">
        <v>1819.9828106647922</v>
      </c>
      <c r="F18" s="2" t="s">
        <v>1</v>
      </c>
      <c r="G18" s="8">
        <v>0.34</v>
      </c>
      <c r="J18" s="22"/>
      <c r="K18" s="22"/>
      <c r="N18" s="109"/>
      <c r="O18" s="109"/>
    </row>
    <row r="19" spans="2:21" ht="15.75" thickBot="1" x14ac:dyDescent="0.35">
      <c r="B19" s="39" t="s">
        <v>41</v>
      </c>
      <c r="C19" s="11">
        <v>885.06136683204249</v>
      </c>
      <c r="F19" s="6" t="s">
        <v>2</v>
      </c>
      <c r="G19" s="10">
        <v>0.39</v>
      </c>
      <c r="J19" s="110" t="s">
        <v>67</v>
      </c>
      <c r="K19" s="111"/>
    </row>
    <row r="20" spans="2:21" ht="17.25" thickBot="1" x14ac:dyDescent="0.35">
      <c r="C20" s="54"/>
      <c r="J20" s="2" t="s">
        <v>9</v>
      </c>
      <c r="K20" s="3">
        <f>C12*G23*(1-G24)</f>
        <v>19008</v>
      </c>
    </row>
    <row r="21" spans="2:21" ht="17.25" thickBot="1" x14ac:dyDescent="0.35">
      <c r="B21" s="4" t="s">
        <v>52</v>
      </c>
      <c r="C21" s="5"/>
      <c r="F21" s="4" t="s">
        <v>28</v>
      </c>
      <c r="G21" s="5"/>
      <c r="J21" s="6" t="s">
        <v>10</v>
      </c>
      <c r="K21" s="11">
        <f>IF(K20&gt;(SUM(K29,K35,K41,K47,K53,K59,K65,K72,K78)),K20-(SUM(K29,K35,K41,K47,K53,K59,K65,K72,K78)),0)</f>
        <v>0</v>
      </c>
      <c r="N21" s="110" t="s">
        <v>83</v>
      </c>
      <c r="O21" s="111"/>
    </row>
    <row r="22" spans="2:21" x14ac:dyDescent="0.3">
      <c r="B22" s="75" t="s">
        <v>33</v>
      </c>
      <c r="C22" s="52">
        <v>0</v>
      </c>
      <c r="F22" s="40" t="s">
        <v>43</v>
      </c>
      <c r="G22" s="8">
        <v>0.39</v>
      </c>
      <c r="J22" s="22"/>
      <c r="K22" s="22"/>
      <c r="N22" s="40" t="s">
        <v>84</v>
      </c>
      <c r="O22" s="48">
        <f>SUM(K9:K13)*G40*G41/N17</f>
        <v>0.15284940674434302</v>
      </c>
      <c r="P22" s="17"/>
      <c r="Q22" s="17"/>
      <c r="R22" s="17"/>
      <c r="S22" s="29"/>
      <c r="T22" s="29"/>
      <c r="U22" s="13"/>
    </row>
    <row r="23" spans="2:21" ht="16.5" x14ac:dyDescent="0.35">
      <c r="B23" s="75" t="s">
        <v>34</v>
      </c>
      <c r="C23" s="52">
        <v>355.0181482672715</v>
      </c>
      <c r="F23" s="40" t="s">
        <v>3</v>
      </c>
      <c r="G23" s="12">
        <v>5.3999999999999999E-2</v>
      </c>
      <c r="J23" s="22"/>
      <c r="K23" s="22"/>
      <c r="N23" s="40" t="s">
        <v>85</v>
      </c>
      <c r="O23" s="49">
        <f>K16*G40*G41/N17</f>
        <v>0.23268366131376148</v>
      </c>
      <c r="P23" s="46"/>
      <c r="Q23" s="46"/>
      <c r="R23" s="46"/>
      <c r="S23" s="29"/>
      <c r="T23" s="27"/>
      <c r="U23" s="14"/>
    </row>
    <row r="24" spans="2:21" x14ac:dyDescent="0.3">
      <c r="B24" s="75" t="s">
        <v>35</v>
      </c>
      <c r="C24" s="52">
        <v>0</v>
      </c>
      <c r="F24" s="2" t="s">
        <v>4</v>
      </c>
      <c r="G24" s="8">
        <v>0.5</v>
      </c>
      <c r="J24" s="22"/>
      <c r="K24" s="22"/>
      <c r="N24" s="40" t="s">
        <v>86</v>
      </c>
      <c r="O24" s="8"/>
      <c r="P24" s="17"/>
      <c r="Q24" s="17"/>
      <c r="R24" s="17"/>
      <c r="S24" s="27"/>
      <c r="T24" s="27"/>
      <c r="U24" s="14"/>
    </row>
    <row r="25" spans="2:21" ht="16.5" x14ac:dyDescent="0.3">
      <c r="B25" s="40" t="s">
        <v>54</v>
      </c>
      <c r="C25" s="52">
        <v>0</v>
      </c>
      <c r="F25" s="40" t="s">
        <v>74</v>
      </c>
      <c r="G25" s="3">
        <v>200</v>
      </c>
      <c r="N25" s="40" t="s">
        <v>33</v>
      </c>
      <c r="O25" s="8">
        <f>K32*G40*G41/N17</f>
        <v>0</v>
      </c>
      <c r="P25" s="17"/>
      <c r="Q25" s="17"/>
      <c r="R25" s="17"/>
      <c r="S25" s="27"/>
      <c r="T25" s="27"/>
      <c r="U25" s="14"/>
    </row>
    <row r="26" spans="2:21" ht="16.5" x14ac:dyDescent="0.35">
      <c r="B26" s="75" t="s">
        <v>36</v>
      </c>
      <c r="C26" s="52">
        <v>11.094317133352234</v>
      </c>
      <c r="F26" s="2"/>
      <c r="G26" s="3"/>
      <c r="J26" s="107" t="s">
        <v>73</v>
      </c>
      <c r="K26" s="107"/>
      <c r="N26" s="40" t="s">
        <v>34</v>
      </c>
      <c r="O26" s="8">
        <f>K38*G40*G41/N17</f>
        <v>0.16352235593948569</v>
      </c>
      <c r="P26" s="17"/>
      <c r="Q26" s="17"/>
      <c r="R26" s="17"/>
      <c r="S26" s="27"/>
      <c r="T26" s="27"/>
      <c r="U26" s="14"/>
    </row>
    <row r="27" spans="2:21" ht="17.25" thickBot="1" x14ac:dyDescent="0.35">
      <c r="B27" s="75" t="s">
        <v>37</v>
      </c>
      <c r="C27" s="52">
        <v>0</v>
      </c>
      <c r="F27" s="40" t="s">
        <v>196</v>
      </c>
      <c r="G27" s="99">
        <v>1.9367708333333334E-2</v>
      </c>
      <c r="J27" s="106"/>
      <c r="K27" s="106"/>
      <c r="N27" s="40" t="s">
        <v>35</v>
      </c>
      <c r="O27" s="8">
        <f>K44*G40*G41/N17</f>
        <v>0</v>
      </c>
      <c r="P27" s="17"/>
      <c r="Q27" s="17"/>
      <c r="R27" s="17"/>
      <c r="S27" s="27"/>
      <c r="T27" s="27"/>
      <c r="U27" s="14"/>
    </row>
    <row r="28" spans="2:21" ht="16.5" x14ac:dyDescent="0.3">
      <c r="B28" s="75" t="s">
        <v>38</v>
      </c>
      <c r="C28" s="52">
        <v>299.54656260051036</v>
      </c>
      <c r="F28" s="40" t="s">
        <v>197</v>
      </c>
      <c r="G28" s="99">
        <v>1.4158928571428572E-2</v>
      </c>
      <c r="J28" s="102" t="s">
        <v>19</v>
      </c>
      <c r="K28" s="103"/>
      <c r="N28" s="40" t="s">
        <v>54</v>
      </c>
      <c r="O28" s="8">
        <f>K50*G40*G41/N17</f>
        <v>0</v>
      </c>
      <c r="P28" s="17"/>
      <c r="Q28" s="17"/>
      <c r="R28" s="17"/>
      <c r="S28" s="27"/>
      <c r="T28" s="27"/>
      <c r="U28" s="14"/>
    </row>
    <row r="29" spans="2:21" ht="16.5" x14ac:dyDescent="0.3">
      <c r="B29" s="40" t="s">
        <v>53</v>
      </c>
      <c r="C29" s="52">
        <v>0</v>
      </c>
      <c r="F29" s="40" t="s">
        <v>198</v>
      </c>
      <c r="G29" s="99">
        <v>3.8750500000000005E-3</v>
      </c>
      <c r="J29" s="40" t="s">
        <v>75</v>
      </c>
      <c r="K29" s="3">
        <f>C35*C22</f>
        <v>0</v>
      </c>
      <c r="N29" s="40" t="s">
        <v>36</v>
      </c>
      <c r="O29" s="8">
        <f>K56*G40*G41/N17</f>
        <v>4.3581881725246914E-3</v>
      </c>
      <c r="P29" s="17"/>
      <c r="Q29" s="17"/>
      <c r="R29" s="17"/>
      <c r="S29" s="27"/>
      <c r="T29" s="27"/>
      <c r="U29" s="14"/>
    </row>
    <row r="30" spans="2:21" ht="17.25" thickBot="1" x14ac:dyDescent="0.35">
      <c r="B30" s="39" t="s">
        <v>39</v>
      </c>
      <c r="C30" s="55">
        <v>73.962114222348234</v>
      </c>
      <c r="F30" s="42" t="s">
        <v>199</v>
      </c>
      <c r="G30" s="99">
        <v>1.8E-3</v>
      </c>
      <c r="J30" s="2" t="s">
        <v>7</v>
      </c>
      <c r="K30" s="3">
        <f>C46*G27*C22</f>
        <v>0</v>
      </c>
      <c r="N30" s="40" t="s">
        <v>37</v>
      </c>
      <c r="O30" s="8">
        <f>K62*G40*G41/N17</f>
        <v>0</v>
      </c>
      <c r="P30" s="17"/>
      <c r="Q30" s="17"/>
      <c r="R30" s="17"/>
      <c r="S30" s="27"/>
      <c r="T30" s="27"/>
      <c r="U30" s="14"/>
    </row>
    <row r="31" spans="2:21" ht="17.25" thickBot="1" x14ac:dyDescent="0.35">
      <c r="B31" s="32"/>
      <c r="C31" s="54"/>
      <c r="F31" s="40" t="s">
        <v>200</v>
      </c>
      <c r="G31" s="99">
        <v>1.9058405555555557E-2</v>
      </c>
      <c r="J31" s="2" t="s">
        <v>8</v>
      </c>
      <c r="K31" s="3">
        <f>K29-K30</f>
        <v>0</v>
      </c>
      <c r="M31" s="17"/>
      <c r="N31" s="40" t="s">
        <v>87</v>
      </c>
      <c r="O31" s="8">
        <f>K69*G40*G41/N17</f>
        <v>0.19684770662829054</v>
      </c>
      <c r="P31" s="17"/>
      <c r="Q31" s="17"/>
      <c r="R31" s="17"/>
      <c r="S31" s="27"/>
      <c r="T31" s="27"/>
      <c r="U31" s="14"/>
    </row>
    <row r="32" spans="2:21" ht="17.25" thickBot="1" x14ac:dyDescent="0.35">
      <c r="B32" s="4" t="s">
        <v>72</v>
      </c>
      <c r="C32" s="5"/>
      <c r="F32" s="40" t="s">
        <v>201</v>
      </c>
      <c r="G32" s="99">
        <v>1.6585714285714283E-2</v>
      </c>
      <c r="J32" s="6" t="s">
        <v>11</v>
      </c>
      <c r="K32" s="11">
        <f>K31</f>
        <v>0</v>
      </c>
      <c r="M32" s="17"/>
      <c r="N32" s="40" t="s">
        <v>53</v>
      </c>
      <c r="O32" s="8">
        <f>K75*G40*G41/N17</f>
        <v>0</v>
      </c>
      <c r="P32" s="17"/>
      <c r="Q32" s="17"/>
      <c r="R32" s="17"/>
      <c r="S32" s="17"/>
      <c r="T32" s="17"/>
    </row>
    <row r="33" spans="2:20" ht="17.25" thickBot="1" x14ac:dyDescent="0.35">
      <c r="B33" s="40" t="s">
        <v>42</v>
      </c>
      <c r="C33" s="3">
        <v>105</v>
      </c>
      <c r="F33" s="44" t="s">
        <v>202</v>
      </c>
      <c r="G33" s="99">
        <v>5.903166666666667E-2</v>
      </c>
      <c r="J33" s="22"/>
      <c r="K33" s="22"/>
      <c r="M33" s="17"/>
      <c r="N33" s="40" t="s">
        <v>39</v>
      </c>
      <c r="O33" s="8">
        <f>K81*G40*G41/N17</f>
        <v>1.7071559948121259E-2</v>
      </c>
      <c r="P33" s="17"/>
      <c r="Q33" s="17"/>
      <c r="R33" s="17"/>
      <c r="S33" s="17"/>
      <c r="T33" s="17"/>
    </row>
    <row r="34" spans="2:20" ht="16.5" x14ac:dyDescent="0.3">
      <c r="B34" s="40"/>
      <c r="C34" s="3"/>
      <c r="F34" s="42" t="s">
        <v>203</v>
      </c>
      <c r="G34" s="99">
        <v>1.5E-3</v>
      </c>
      <c r="J34" s="102" t="s">
        <v>21</v>
      </c>
      <c r="K34" s="103"/>
      <c r="N34" s="40" t="s">
        <v>88</v>
      </c>
      <c r="O34" s="8">
        <f>K21*G40*G41/N17</f>
        <v>0</v>
      </c>
      <c r="P34" s="17"/>
      <c r="Q34" s="17"/>
      <c r="R34" s="17"/>
      <c r="S34" s="17"/>
      <c r="T34" s="17"/>
    </row>
    <row r="35" spans="2:20" ht="17.25" thickBot="1" x14ac:dyDescent="0.35">
      <c r="B35" s="75" t="s">
        <v>33</v>
      </c>
      <c r="C35" s="52">
        <v>93.742412746585728</v>
      </c>
      <c r="F35" s="43" t="s">
        <v>204</v>
      </c>
      <c r="G35" s="100">
        <v>1.8778333333333334E-2</v>
      </c>
      <c r="J35" s="40" t="s">
        <v>75</v>
      </c>
      <c r="K35" s="3">
        <f>C36*C23</f>
        <v>54814.542238069167</v>
      </c>
      <c r="N35" s="42" t="s">
        <v>89</v>
      </c>
      <c r="O35" s="8">
        <f>O10/N17</f>
        <v>9.3928587177103159E-2</v>
      </c>
      <c r="P35" s="17"/>
      <c r="Q35" s="17"/>
      <c r="R35" s="17"/>
      <c r="S35" s="17"/>
      <c r="T35" s="17"/>
    </row>
    <row r="36" spans="2:20" ht="17.25" thickBot="1" x14ac:dyDescent="0.35">
      <c r="B36" s="75" t="s">
        <v>34</v>
      </c>
      <c r="C36" s="52">
        <v>154.39926805320005</v>
      </c>
      <c r="J36" s="2" t="s">
        <v>7</v>
      </c>
      <c r="K36" s="3">
        <f>C47*G28*C23</f>
        <v>41269.427696309205</v>
      </c>
      <c r="N36" s="42" t="s">
        <v>90</v>
      </c>
      <c r="O36" s="8">
        <f>O12/N17</f>
        <v>0</v>
      </c>
      <c r="P36" s="17"/>
      <c r="Q36" s="17"/>
      <c r="R36" s="17"/>
      <c r="S36" s="17"/>
      <c r="T36" s="17"/>
    </row>
    <row r="37" spans="2:20" ht="16.5" x14ac:dyDescent="0.3">
      <c r="B37" s="75" t="s">
        <v>35</v>
      </c>
      <c r="C37" s="52">
        <v>132.34222975988575</v>
      </c>
      <c r="F37" s="4" t="s">
        <v>30</v>
      </c>
      <c r="G37" s="15"/>
      <c r="H37" s="35"/>
      <c r="J37" s="2" t="s">
        <v>8</v>
      </c>
      <c r="K37" s="36">
        <f>K35-K36</f>
        <v>13545.114541759962</v>
      </c>
      <c r="N37" s="42" t="s">
        <v>91</v>
      </c>
      <c r="O37" s="8">
        <f>O14/N17</f>
        <v>0.13873853407637018</v>
      </c>
      <c r="P37" s="17"/>
      <c r="Q37" s="17"/>
      <c r="R37" s="17"/>
      <c r="S37" s="17"/>
      <c r="T37" s="17"/>
    </row>
    <row r="38" spans="2:20" ht="18" thickBot="1" x14ac:dyDescent="0.4">
      <c r="B38" s="40" t="s">
        <v>54</v>
      </c>
      <c r="C38" s="36">
        <v>70</v>
      </c>
      <c r="F38" s="40" t="s">
        <v>68</v>
      </c>
      <c r="G38" s="8">
        <v>0.6</v>
      </c>
      <c r="H38" s="33"/>
      <c r="J38" s="6" t="s">
        <v>11</v>
      </c>
      <c r="K38" s="11">
        <f>K37</f>
        <v>13545.114541759962</v>
      </c>
      <c r="N38" s="50" t="s">
        <v>92</v>
      </c>
      <c r="O38" s="51">
        <f>SUM(O22:O37)</f>
        <v>1</v>
      </c>
      <c r="P38" s="17"/>
      <c r="Q38" s="17"/>
      <c r="R38" s="17"/>
      <c r="S38" s="17"/>
      <c r="T38" s="17"/>
    </row>
    <row r="39" spans="2:20" ht="15.75" thickBot="1" x14ac:dyDescent="0.35">
      <c r="B39" s="75" t="s">
        <v>36</v>
      </c>
      <c r="C39" s="3">
        <v>129</v>
      </c>
      <c r="F39" s="40" t="s">
        <v>46</v>
      </c>
      <c r="G39" s="8">
        <v>0.66</v>
      </c>
      <c r="H39" s="34"/>
      <c r="P39" s="17"/>
      <c r="Q39" s="17"/>
      <c r="R39" s="17"/>
      <c r="S39" s="17"/>
      <c r="T39" s="17"/>
    </row>
    <row r="40" spans="2:20" x14ac:dyDescent="0.3">
      <c r="B40" s="75" t="s">
        <v>37</v>
      </c>
      <c r="C40" s="52">
        <v>82.713893599928596</v>
      </c>
      <c r="F40" s="40" t="s">
        <v>44</v>
      </c>
      <c r="G40" s="8">
        <v>0.39</v>
      </c>
      <c r="H40" s="34"/>
      <c r="J40" s="102" t="s">
        <v>20</v>
      </c>
      <c r="K40" s="103"/>
      <c r="P40" s="17"/>
      <c r="Q40" s="17"/>
      <c r="R40" s="17"/>
      <c r="S40" s="17"/>
      <c r="T40" s="17"/>
    </row>
    <row r="41" spans="2:20" ht="18" customHeight="1" thickBot="1" x14ac:dyDescent="0.35">
      <c r="B41" s="75" t="s">
        <v>38</v>
      </c>
      <c r="C41" s="52">
        <v>0</v>
      </c>
      <c r="F41" s="39" t="s">
        <v>45</v>
      </c>
      <c r="G41" s="10">
        <v>0.65</v>
      </c>
      <c r="H41" s="34"/>
      <c r="J41" s="40" t="s">
        <v>75</v>
      </c>
      <c r="K41" s="3">
        <f>C24*C37</f>
        <v>0</v>
      </c>
      <c r="N41" s="17"/>
      <c r="O41" s="17"/>
      <c r="P41" s="17"/>
      <c r="Q41" s="17"/>
      <c r="R41" s="17"/>
      <c r="S41" s="17"/>
      <c r="T41" s="17"/>
    </row>
    <row r="42" spans="2:20" ht="17.25" customHeight="1" x14ac:dyDescent="0.3">
      <c r="B42" s="40" t="s">
        <v>53</v>
      </c>
      <c r="C42" s="36">
        <v>202</v>
      </c>
      <c r="F42" s="31" t="s">
        <v>24</v>
      </c>
      <c r="G42" s="31"/>
      <c r="H42" s="34"/>
      <c r="J42" s="2" t="s">
        <v>7</v>
      </c>
      <c r="K42" s="3">
        <f>C48*G29*C24</f>
        <v>0</v>
      </c>
      <c r="M42" s="17"/>
      <c r="N42" s="17"/>
      <c r="O42" s="17"/>
      <c r="P42" s="17"/>
      <c r="Q42" s="17"/>
      <c r="R42" s="17"/>
      <c r="S42" s="17"/>
      <c r="T42" s="17"/>
    </row>
    <row r="43" spans="2:20" ht="17.25" thickBot="1" x14ac:dyDescent="0.35">
      <c r="B43" s="39" t="s">
        <v>39</v>
      </c>
      <c r="C43" s="55">
        <v>93.742412746585728</v>
      </c>
      <c r="F43" s="31"/>
      <c r="G43" s="31"/>
      <c r="H43" s="34"/>
      <c r="J43" s="2" t="s">
        <v>8</v>
      </c>
      <c r="K43" s="3">
        <f>K41-K42</f>
        <v>0</v>
      </c>
      <c r="M43" s="17"/>
      <c r="N43" s="17"/>
      <c r="O43" s="17"/>
      <c r="P43" s="17"/>
      <c r="Q43" s="17"/>
      <c r="R43" s="17"/>
      <c r="S43" s="17"/>
      <c r="T43" s="17"/>
    </row>
    <row r="44" spans="2:20" ht="17.25" thickBot="1" x14ac:dyDescent="0.35">
      <c r="B44" s="32"/>
      <c r="C44" s="54"/>
      <c r="F44" s="31"/>
      <c r="G44" s="31"/>
      <c r="H44" s="34"/>
      <c r="J44" s="6" t="s">
        <v>11</v>
      </c>
      <c r="K44" s="11">
        <f>K43</f>
        <v>0</v>
      </c>
      <c r="M44" s="17"/>
      <c r="N44" s="17"/>
      <c r="O44" s="17"/>
      <c r="P44" s="17"/>
      <c r="Q44" s="17"/>
      <c r="R44" s="17"/>
      <c r="S44" s="17"/>
      <c r="T44" s="17"/>
    </row>
    <row r="45" spans="2:20" ht="17.25" thickBot="1" x14ac:dyDescent="0.35">
      <c r="B45" s="4" t="s">
        <v>193</v>
      </c>
      <c r="C45" s="5"/>
      <c r="H45" s="34"/>
      <c r="J45" s="23"/>
      <c r="K45" s="22"/>
      <c r="M45" s="17"/>
      <c r="N45" s="17"/>
      <c r="O45" s="17"/>
      <c r="P45" s="17"/>
      <c r="Q45" s="17"/>
      <c r="R45" s="17"/>
      <c r="S45" s="17"/>
      <c r="T45" s="17"/>
    </row>
    <row r="46" spans="2:20" x14ac:dyDescent="0.3">
      <c r="B46" s="75" t="s">
        <v>33</v>
      </c>
      <c r="C46" s="52">
        <v>4672.6450331125816</v>
      </c>
      <c r="H46" s="34"/>
      <c r="J46" s="104" t="s">
        <v>23</v>
      </c>
      <c r="K46" s="103"/>
      <c r="N46" s="17"/>
      <c r="O46" s="17"/>
      <c r="P46" s="17"/>
      <c r="Q46" s="17"/>
      <c r="R46" s="17"/>
      <c r="S46" s="17"/>
      <c r="T46" s="17"/>
    </row>
    <row r="47" spans="2:20" ht="16.5" x14ac:dyDescent="0.3">
      <c r="B47" s="75" t="s">
        <v>34</v>
      </c>
      <c r="C47" s="52">
        <v>8210.082119205299</v>
      </c>
      <c r="H47" s="34"/>
      <c r="J47" s="40" t="s">
        <v>75</v>
      </c>
      <c r="K47" s="3">
        <f>C25*C38</f>
        <v>0</v>
      </c>
      <c r="N47" s="17"/>
      <c r="O47" s="17"/>
      <c r="P47" s="17"/>
      <c r="Q47" s="17"/>
      <c r="R47" s="17"/>
      <c r="S47" s="17"/>
      <c r="T47" s="17"/>
    </row>
    <row r="48" spans="2:20" ht="16.5" x14ac:dyDescent="0.3">
      <c r="B48" s="75" t="s">
        <v>35</v>
      </c>
      <c r="C48" s="52">
        <v>46739.900662251654</v>
      </c>
      <c r="D48"/>
      <c r="E48"/>
      <c r="H48" s="34"/>
      <c r="J48" s="2" t="s">
        <v>7</v>
      </c>
      <c r="K48" s="3">
        <f>C49*G30*C25</f>
        <v>0</v>
      </c>
      <c r="M48"/>
      <c r="N48" s="17"/>
      <c r="O48" s="17"/>
      <c r="P48" s="17"/>
      <c r="Q48" s="17"/>
      <c r="R48" s="17"/>
      <c r="S48" s="17"/>
      <c r="T48" s="17"/>
    </row>
    <row r="49" spans="2:20" ht="16.5" x14ac:dyDescent="0.3">
      <c r="B49" s="40" t="s">
        <v>54</v>
      </c>
      <c r="C49" s="52"/>
      <c r="E49"/>
      <c r="H49" s="34"/>
      <c r="J49" s="2" t="s">
        <v>8</v>
      </c>
      <c r="K49" s="3">
        <f>K47-K48</f>
        <v>0</v>
      </c>
      <c r="M49"/>
      <c r="N49" s="17"/>
      <c r="O49" s="17"/>
      <c r="P49" s="17"/>
      <c r="Q49" s="17"/>
      <c r="R49" s="17"/>
      <c r="S49" s="17"/>
      <c r="T49" s="17"/>
    </row>
    <row r="50" spans="2:20" ht="17.25" thickBot="1" x14ac:dyDescent="0.35">
      <c r="B50" s="75" t="s">
        <v>36</v>
      </c>
      <c r="C50" s="52">
        <v>5061.3097866077997</v>
      </c>
      <c r="D50"/>
      <c r="E50"/>
      <c r="H50" s="34"/>
      <c r="J50" s="6" t="s">
        <v>11</v>
      </c>
      <c r="K50" s="11">
        <f>K49</f>
        <v>0</v>
      </c>
      <c r="M50"/>
      <c r="N50" s="17"/>
      <c r="O50" s="17"/>
      <c r="P50" s="17"/>
      <c r="Q50" s="17"/>
      <c r="R50" s="17"/>
      <c r="S50" s="17"/>
      <c r="T50" s="17"/>
    </row>
    <row r="51" spans="2:20" ht="15.75" thickBot="1" x14ac:dyDescent="0.35">
      <c r="B51" s="75" t="s">
        <v>37</v>
      </c>
      <c r="C51" s="52"/>
      <c r="D51"/>
      <c r="E51"/>
      <c r="H51" s="34"/>
      <c r="J51" s="24"/>
      <c r="K51" s="25"/>
      <c r="M51"/>
      <c r="N51" s="17"/>
      <c r="O51" s="17"/>
      <c r="P51" s="17"/>
      <c r="Q51" s="17"/>
      <c r="R51" s="17"/>
      <c r="S51" s="17"/>
      <c r="T51" s="17"/>
    </row>
    <row r="52" spans="2:20" x14ac:dyDescent="0.3">
      <c r="B52" s="75" t="s">
        <v>38</v>
      </c>
      <c r="C52" s="52">
        <v>2465.8940397350989</v>
      </c>
      <c r="D52" s="28"/>
      <c r="E52"/>
      <c r="H52" s="34"/>
      <c r="J52" s="102" t="s">
        <v>18</v>
      </c>
      <c r="K52" s="103"/>
      <c r="M52"/>
      <c r="N52" s="17"/>
      <c r="O52" s="17"/>
      <c r="P52" s="17"/>
      <c r="Q52" s="17"/>
      <c r="R52" s="17"/>
      <c r="S52" s="17"/>
      <c r="T52" s="17"/>
    </row>
    <row r="53" spans="2:20" ht="16.5" x14ac:dyDescent="0.3">
      <c r="B53" s="40" t="s">
        <v>53</v>
      </c>
      <c r="C53" s="52"/>
      <c r="D53" s="28"/>
      <c r="E53"/>
      <c r="H53" s="34"/>
      <c r="J53" s="40" t="s">
        <v>75</v>
      </c>
      <c r="K53" s="3">
        <f>C39*C26</f>
        <v>1431.1669102024382</v>
      </c>
      <c r="M53"/>
      <c r="N53" s="17"/>
      <c r="O53" s="17"/>
      <c r="P53" s="17"/>
      <c r="Q53" s="17"/>
      <c r="R53" s="17"/>
      <c r="S53" s="17"/>
      <c r="T53" s="17"/>
    </row>
    <row r="54" spans="2:20" ht="17.25" thickBot="1" x14ac:dyDescent="0.35">
      <c r="B54" s="39" t="s">
        <v>39</v>
      </c>
      <c r="C54" s="55">
        <v>3973.900331125828</v>
      </c>
      <c r="D54" s="28"/>
      <c r="E54"/>
      <c r="H54" s="34"/>
      <c r="J54" s="2" t="s">
        <v>7</v>
      </c>
      <c r="K54" s="3">
        <f>C50*G31*C26</f>
        <v>1070.1633174384228</v>
      </c>
      <c r="M54"/>
      <c r="N54" s="17"/>
      <c r="O54" s="17"/>
      <c r="P54" s="17"/>
      <c r="Q54" s="17"/>
      <c r="R54" s="17"/>
      <c r="S54" s="17"/>
      <c r="T54" s="17"/>
    </row>
    <row r="55" spans="2:20" ht="16.5" x14ac:dyDescent="0.3">
      <c r="D55" s="28"/>
      <c r="E55"/>
      <c r="H55" s="34"/>
      <c r="J55" s="2" t="s">
        <v>8</v>
      </c>
      <c r="K55" s="3">
        <f>K53-K54</f>
        <v>361.00359276401537</v>
      </c>
      <c r="M55"/>
      <c r="N55" s="17"/>
      <c r="O55" s="17"/>
      <c r="P55" s="17"/>
      <c r="Q55" s="17"/>
      <c r="R55" s="17"/>
      <c r="S55" s="17"/>
      <c r="T55" s="17"/>
    </row>
    <row r="56" spans="2:20" ht="17.25" thickBot="1" x14ac:dyDescent="0.35">
      <c r="B56" s="27"/>
      <c r="C56" s="27"/>
      <c r="D56" s="28"/>
      <c r="E56"/>
      <c r="H56" s="34"/>
      <c r="J56" s="6" t="s">
        <v>11</v>
      </c>
      <c r="K56" s="11">
        <f>K55</f>
        <v>361.00359276401537</v>
      </c>
      <c r="M56"/>
      <c r="N56" s="17"/>
      <c r="O56" s="17"/>
      <c r="P56" s="17"/>
      <c r="Q56" s="17"/>
      <c r="R56" s="17"/>
      <c r="S56" s="17"/>
      <c r="T56" s="17"/>
    </row>
    <row r="57" spans="2:20" ht="15.75" thickBot="1" x14ac:dyDescent="0.35">
      <c r="D57" s="28"/>
      <c r="E57"/>
      <c r="H57" s="20"/>
      <c r="J57" s="22"/>
      <c r="K57" s="26"/>
      <c r="M57"/>
      <c r="N57" s="17"/>
      <c r="O57" s="17"/>
      <c r="P57" s="17"/>
      <c r="Q57" s="17"/>
      <c r="R57" s="17"/>
      <c r="S57" s="17"/>
      <c r="T57" s="17"/>
    </row>
    <row r="58" spans="2:20" x14ac:dyDescent="0.3">
      <c r="D58" s="28"/>
      <c r="E58"/>
      <c r="F58" s="20"/>
      <c r="G58" s="31"/>
      <c r="H58" s="20"/>
      <c r="J58" s="102" t="s">
        <v>22</v>
      </c>
      <c r="K58" s="103"/>
      <c r="M58"/>
      <c r="N58" s="17"/>
      <c r="O58" s="17"/>
      <c r="P58" s="17"/>
      <c r="Q58" s="17"/>
      <c r="R58" s="17"/>
      <c r="S58" s="17"/>
      <c r="T58" s="17"/>
    </row>
    <row r="59" spans="2:20" ht="16.5" x14ac:dyDescent="0.3">
      <c r="D59" s="28"/>
      <c r="E59"/>
      <c r="F59" s="31"/>
      <c r="G59" s="31"/>
      <c r="H59" s="20"/>
      <c r="J59" s="40" t="s">
        <v>75</v>
      </c>
      <c r="K59" s="3">
        <f>C40*C27</f>
        <v>0</v>
      </c>
      <c r="M59"/>
      <c r="N59" s="17"/>
      <c r="O59" s="17"/>
      <c r="P59" s="17"/>
      <c r="Q59" s="17"/>
      <c r="R59" s="17"/>
      <c r="S59" s="17"/>
      <c r="T59" s="17"/>
    </row>
    <row r="60" spans="2:20" ht="16.5" x14ac:dyDescent="0.3">
      <c r="D60" s="28"/>
      <c r="E60"/>
      <c r="F60" s="20"/>
      <c r="G60" s="31"/>
      <c r="H60" s="31"/>
      <c r="J60" s="2" t="s">
        <v>7</v>
      </c>
      <c r="K60" s="3">
        <f>C51*G32*C27</f>
        <v>0</v>
      </c>
      <c r="M60"/>
      <c r="N60" s="17"/>
      <c r="O60" s="17"/>
      <c r="P60" s="17"/>
      <c r="Q60" s="30"/>
      <c r="R60" s="17"/>
      <c r="S60" s="17"/>
      <c r="T60" s="17"/>
    </row>
    <row r="61" spans="2:20" ht="16.5" x14ac:dyDescent="0.3">
      <c r="D61" s="28"/>
      <c r="E61"/>
      <c r="F61" s="20"/>
      <c r="G61" s="31"/>
      <c r="H61" s="20"/>
      <c r="J61" s="2" t="s">
        <v>8</v>
      </c>
      <c r="K61" s="3">
        <f>K59-K60</f>
        <v>0</v>
      </c>
      <c r="M61"/>
      <c r="N61" s="17"/>
      <c r="O61" s="17"/>
      <c r="P61" s="17"/>
      <c r="Q61" s="30"/>
      <c r="R61" s="17"/>
      <c r="S61" s="17"/>
      <c r="T61" s="17"/>
    </row>
    <row r="62" spans="2:20" ht="17.25" thickBot="1" x14ac:dyDescent="0.35">
      <c r="D62" s="28"/>
      <c r="E62"/>
      <c r="F62" s="20"/>
      <c r="G62" s="31"/>
      <c r="H62" s="20"/>
      <c r="J62" s="6" t="s">
        <v>11</v>
      </c>
      <c r="K62" s="11">
        <f>K61</f>
        <v>0</v>
      </c>
      <c r="M62"/>
      <c r="N62" s="17"/>
      <c r="O62" s="17"/>
      <c r="P62" s="17"/>
      <c r="Q62" s="30"/>
      <c r="R62" s="17"/>
      <c r="S62" s="17"/>
      <c r="T62" s="17"/>
    </row>
    <row r="63" spans="2:20" ht="15.75" thickBot="1" x14ac:dyDescent="0.35">
      <c r="D63" s="27"/>
      <c r="F63" s="20"/>
      <c r="G63" s="31"/>
      <c r="H63" s="20"/>
      <c r="K63"/>
      <c r="N63" s="17"/>
      <c r="O63" s="17"/>
      <c r="P63" s="30"/>
      <c r="Q63" s="30"/>
      <c r="R63" s="17"/>
      <c r="S63" s="17"/>
      <c r="T63" s="17"/>
    </row>
    <row r="64" spans="2:20" x14ac:dyDescent="0.3">
      <c r="D64" s="27"/>
      <c r="F64" s="20"/>
      <c r="G64" s="31"/>
      <c r="H64" s="20"/>
      <c r="J64" s="102" t="s">
        <v>5</v>
      </c>
      <c r="K64" s="103"/>
      <c r="N64" s="17"/>
      <c r="O64" s="17"/>
      <c r="P64" s="30"/>
      <c r="Q64" s="30"/>
      <c r="R64" s="17"/>
      <c r="S64" s="17"/>
      <c r="T64" s="17"/>
    </row>
    <row r="65" spans="4:20" ht="16.5" x14ac:dyDescent="0.3">
      <c r="D65" s="27"/>
      <c r="F65" s="20"/>
      <c r="G65" s="31"/>
      <c r="H65" s="20"/>
      <c r="J65" s="40" t="s">
        <v>75</v>
      </c>
      <c r="K65" s="3">
        <f>(C41*C28)</f>
        <v>0</v>
      </c>
      <c r="N65" s="17"/>
      <c r="O65" s="17"/>
      <c r="P65" s="30"/>
      <c r="Q65" s="30"/>
      <c r="R65" s="17"/>
      <c r="S65" s="17"/>
      <c r="T65" s="17"/>
    </row>
    <row r="66" spans="4:20" ht="16.5" x14ac:dyDescent="0.3">
      <c r="D66" s="27"/>
      <c r="F66" s="20"/>
      <c r="G66" s="31"/>
      <c r="H66" s="20"/>
      <c r="J66" s="40" t="s">
        <v>79</v>
      </c>
      <c r="K66" s="3">
        <f>(G25*C28)</f>
        <v>59909.312520102074</v>
      </c>
      <c r="N66" s="17"/>
      <c r="O66" s="17"/>
      <c r="P66" s="30"/>
      <c r="Q66" s="30"/>
      <c r="R66" s="17"/>
      <c r="S66" s="17"/>
      <c r="T66" s="17"/>
    </row>
    <row r="67" spans="4:20" ht="16.5" x14ac:dyDescent="0.3">
      <c r="F67" s="20"/>
      <c r="G67" s="31"/>
      <c r="H67" s="20"/>
      <c r="J67" s="2" t="s">
        <v>7</v>
      </c>
      <c r="K67" s="3">
        <f>C52*G33*C28</f>
        <v>43603.745503016798</v>
      </c>
      <c r="N67" s="17"/>
      <c r="O67" s="17"/>
      <c r="P67" s="30"/>
      <c r="Q67" s="30"/>
      <c r="R67" s="17"/>
      <c r="S67" s="17"/>
      <c r="T67" s="17"/>
    </row>
    <row r="68" spans="4:20" ht="16.5" x14ac:dyDescent="0.3">
      <c r="F68" s="26"/>
      <c r="G68" s="22"/>
      <c r="H68" s="26"/>
      <c r="J68" s="2" t="s">
        <v>8</v>
      </c>
      <c r="K68" s="3">
        <f>(K65+K66)-K67</f>
        <v>16305.567017085275</v>
      </c>
      <c r="N68" s="17"/>
      <c r="O68" s="17"/>
      <c r="P68" s="30"/>
      <c r="Q68" s="30"/>
      <c r="R68" s="17"/>
      <c r="S68" s="17"/>
      <c r="T68" s="17"/>
    </row>
    <row r="69" spans="4:20" ht="17.25" thickBot="1" x14ac:dyDescent="0.35">
      <c r="F69" s="26"/>
      <c r="G69" s="22"/>
      <c r="H69" s="26"/>
      <c r="J69" s="6" t="s">
        <v>11</v>
      </c>
      <c r="K69" s="11">
        <f>K68</f>
        <v>16305.567017085275</v>
      </c>
      <c r="N69" s="17"/>
      <c r="O69" s="17"/>
      <c r="P69" s="30"/>
      <c r="Q69" s="17"/>
      <c r="R69" s="17"/>
      <c r="S69" s="17"/>
      <c r="T69" s="17"/>
    </row>
    <row r="70" spans="4:20" ht="15.75" thickBot="1" x14ac:dyDescent="0.35">
      <c r="F70"/>
      <c r="H70"/>
      <c r="N70" s="17"/>
      <c r="O70" s="17"/>
      <c r="P70" s="30"/>
      <c r="Q70" s="17"/>
      <c r="R70" s="17"/>
      <c r="S70" s="17"/>
      <c r="T70" s="17"/>
    </row>
    <row r="71" spans="4:20" x14ac:dyDescent="0.3">
      <c r="F71"/>
      <c r="H71"/>
      <c r="J71" s="104" t="s">
        <v>25</v>
      </c>
      <c r="K71" s="105"/>
      <c r="N71" s="17"/>
      <c r="O71" s="17"/>
      <c r="P71" s="17"/>
      <c r="Q71" s="17"/>
      <c r="R71" s="17"/>
      <c r="S71" s="17"/>
      <c r="T71" s="17"/>
    </row>
    <row r="72" spans="4:20" ht="16.5" x14ac:dyDescent="0.3">
      <c r="F72"/>
      <c r="J72" s="45" t="s">
        <v>76</v>
      </c>
      <c r="K72" s="3">
        <f>C29*C42</f>
        <v>0</v>
      </c>
      <c r="N72" s="17"/>
      <c r="O72" s="17"/>
      <c r="P72" s="17"/>
      <c r="Q72" s="17"/>
      <c r="R72" s="17"/>
      <c r="S72" s="17"/>
      <c r="T72" s="17"/>
    </row>
    <row r="73" spans="4:20" ht="16.5" x14ac:dyDescent="0.3">
      <c r="J73" s="19" t="s">
        <v>14</v>
      </c>
      <c r="K73" s="3">
        <f>C53*G34*C29</f>
        <v>0</v>
      </c>
      <c r="N73" s="17"/>
      <c r="O73" s="17"/>
      <c r="P73" s="17"/>
      <c r="Q73" s="17"/>
      <c r="R73" s="17"/>
      <c r="S73" s="17"/>
      <c r="T73" s="17"/>
    </row>
    <row r="74" spans="4:20" ht="16.5" x14ac:dyDescent="0.3">
      <c r="J74" s="19" t="s">
        <v>15</v>
      </c>
      <c r="K74" s="3">
        <f>K72-K73</f>
        <v>0</v>
      </c>
      <c r="N74" s="17"/>
      <c r="O74" s="17"/>
      <c r="P74" s="17"/>
      <c r="Q74" s="17"/>
      <c r="R74" s="17"/>
      <c r="S74" s="17"/>
      <c r="T74" s="17"/>
    </row>
    <row r="75" spans="4:20" ht="17.25" thickBot="1" x14ac:dyDescent="0.35">
      <c r="J75" s="21" t="s">
        <v>16</v>
      </c>
      <c r="K75" s="11">
        <f>K74</f>
        <v>0</v>
      </c>
      <c r="N75" s="17"/>
      <c r="O75" s="17"/>
      <c r="P75" s="17"/>
      <c r="Q75" s="17"/>
      <c r="R75" s="17"/>
      <c r="S75" s="17"/>
      <c r="T75" s="17"/>
    </row>
    <row r="76" spans="4:20" ht="15.75" thickBot="1" x14ac:dyDescent="0.35">
      <c r="N76" s="17"/>
      <c r="O76" s="17"/>
      <c r="P76" s="17"/>
      <c r="Q76" s="17"/>
      <c r="R76" s="17"/>
      <c r="S76" s="17"/>
      <c r="T76" s="17"/>
    </row>
    <row r="77" spans="4:20" x14ac:dyDescent="0.3">
      <c r="J77" s="102" t="s">
        <v>6</v>
      </c>
      <c r="K77" s="103"/>
      <c r="N77" s="17"/>
      <c r="O77" s="17"/>
      <c r="P77" s="17"/>
      <c r="Q77" s="17"/>
      <c r="R77" s="17"/>
      <c r="S77" s="17"/>
      <c r="T77" s="17"/>
    </row>
    <row r="78" spans="4:20" ht="16.5" x14ac:dyDescent="0.3">
      <c r="J78" s="45" t="s">
        <v>76</v>
      </c>
      <c r="K78" s="3">
        <f>C30*C43</f>
        <v>6933.3870390414868</v>
      </c>
      <c r="N78" s="17"/>
      <c r="O78" s="17"/>
      <c r="P78" s="17"/>
      <c r="Q78" s="17"/>
      <c r="R78" s="17"/>
      <c r="S78" s="17"/>
      <c r="T78" s="17"/>
    </row>
    <row r="79" spans="4:20" ht="16.5" x14ac:dyDescent="0.3">
      <c r="J79" s="19" t="s">
        <v>14</v>
      </c>
      <c r="K79" s="3">
        <f>C54*G35*C30</f>
        <v>5519.2914948860616</v>
      </c>
      <c r="N79" s="17"/>
      <c r="O79" s="17"/>
      <c r="P79" s="17"/>
      <c r="Q79" s="17"/>
      <c r="R79" s="17"/>
      <c r="S79" s="17"/>
      <c r="T79" s="17"/>
    </row>
    <row r="80" spans="4:20" ht="16.5" x14ac:dyDescent="0.3">
      <c r="J80" s="19" t="s">
        <v>15</v>
      </c>
      <c r="K80" s="3">
        <f>K78-K79</f>
        <v>1414.0955441554252</v>
      </c>
      <c r="N80" s="17"/>
      <c r="O80" s="17"/>
      <c r="P80" s="17"/>
      <c r="Q80" s="17"/>
      <c r="R80" s="17"/>
      <c r="S80" s="17"/>
      <c r="T80" s="17"/>
    </row>
    <row r="81" spans="10:20" ht="17.25" thickBot="1" x14ac:dyDescent="0.35">
      <c r="J81" s="21" t="s">
        <v>16</v>
      </c>
      <c r="K81" s="11">
        <f>K78-K79</f>
        <v>1414.0955441554252</v>
      </c>
      <c r="N81" s="17"/>
      <c r="O81" s="17"/>
      <c r="P81" s="17"/>
      <c r="Q81" s="17"/>
      <c r="R81" s="17"/>
      <c r="S81" s="17"/>
      <c r="T81" s="17"/>
    </row>
    <row r="82" spans="10:20" x14ac:dyDescent="0.3">
      <c r="N82" s="17"/>
      <c r="O82" s="17"/>
      <c r="P82" s="17"/>
      <c r="Q82" s="17"/>
      <c r="R82" s="17"/>
      <c r="S82" s="17"/>
      <c r="T82" s="17"/>
    </row>
    <row r="83" spans="10:20" x14ac:dyDescent="0.3">
      <c r="N83" s="17"/>
      <c r="O83" s="17"/>
      <c r="P83" s="17"/>
      <c r="Q83" s="17"/>
      <c r="R83" s="17"/>
      <c r="S83" s="17"/>
      <c r="T83" s="17"/>
    </row>
    <row r="84" spans="10:20" x14ac:dyDescent="0.3">
      <c r="N84" s="17"/>
      <c r="O84" s="17"/>
      <c r="P84" s="17"/>
      <c r="Q84" s="17"/>
      <c r="R84" s="17"/>
      <c r="S84" s="17"/>
      <c r="T84" s="17"/>
    </row>
    <row r="85" spans="10:20" x14ac:dyDescent="0.3">
      <c r="N85" s="17"/>
      <c r="O85" s="17"/>
      <c r="P85" s="17"/>
      <c r="Q85" s="17"/>
      <c r="R85" s="17"/>
      <c r="S85" s="17"/>
      <c r="T85" s="17"/>
    </row>
    <row r="86" spans="10:20" x14ac:dyDescent="0.3">
      <c r="N86" s="17"/>
      <c r="O86" s="17"/>
      <c r="P86" s="17"/>
      <c r="Q86" s="17"/>
      <c r="R86" s="17"/>
      <c r="S86" s="17"/>
      <c r="T86" s="17"/>
    </row>
  </sheetData>
  <mergeCells count="22">
    <mergeCell ref="J26:K26"/>
    <mergeCell ref="B6:C6"/>
    <mergeCell ref="F6:G6"/>
    <mergeCell ref="J6:K6"/>
    <mergeCell ref="N6:O6"/>
    <mergeCell ref="J8:K8"/>
    <mergeCell ref="J14:K14"/>
    <mergeCell ref="J15:K15"/>
    <mergeCell ref="N16:O16"/>
    <mergeCell ref="N17:O18"/>
    <mergeCell ref="J19:K19"/>
    <mergeCell ref="N21:O21"/>
    <mergeCell ref="J58:K58"/>
    <mergeCell ref="J64:K64"/>
    <mergeCell ref="J71:K71"/>
    <mergeCell ref="J77:K77"/>
    <mergeCell ref="J27:K27"/>
    <mergeCell ref="J28:K28"/>
    <mergeCell ref="J34:K34"/>
    <mergeCell ref="J40:K40"/>
    <mergeCell ref="J46:K46"/>
    <mergeCell ref="J52:K52"/>
  </mergeCells>
  <pageMargins left="0.75" right="0.75" top="1" bottom="1" header="0.5" footer="0.5"/>
  <pageSetup scale="7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27</vt:i4>
      </vt:variant>
    </vt:vector>
  </HeadingPairs>
  <TitlesOfParts>
    <vt:vector size="56" baseType="lpstr">
      <vt:lpstr>README</vt:lpstr>
      <vt:lpstr>BLANK NLM - Metric</vt:lpstr>
      <vt:lpstr>BLANK NLM - English</vt:lpstr>
      <vt:lpstr>Rehoboth</vt:lpstr>
      <vt:lpstr>Indian River</vt:lpstr>
      <vt:lpstr>Little Assawoman</vt:lpstr>
      <vt:lpstr>Assawoman</vt:lpstr>
      <vt:lpstr>St. Martins</vt:lpstr>
      <vt:lpstr>Turville</vt:lpstr>
      <vt:lpstr>Isle of Wight</vt:lpstr>
      <vt:lpstr>Sinepuxent</vt:lpstr>
      <vt:lpstr>Newport</vt:lpstr>
      <vt:lpstr>Chincoteague</vt:lpstr>
      <vt:lpstr>Mosquito</vt:lpstr>
      <vt:lpstr>Simoneaston</vt:lpstr>
      <vt:lpstr>Bogues</vt:lpstr>
      <vt:lpstr>Oyster-Womans</vt:lpstr>
      <vt:lpstr>Kegotank</vt:lpstr>
      <vt:lpstr>Gargathy</vt:lpstr>
      <vt:lpstr>Metompkin</vt:lpstr>
      <vt:lpstr>North Burtons</vt:lpstr>
      <vt:lpstr>Burtons</vt:lpstr>
      <vt:lpstr>Bradford</vt:lpstr>
      <vt:lpstr>Upshur</vt:lpstr>
      <vt:lpstr>Hog Island</vt:lpstr>
      <vt:lpstr>Ramshorn</vt:lpstr>
      <vt:lpstr>Mockhorn</vt:lpstr>
      <vt:lpstr>Magothy</vt:lpstr>
      <vt:lpstr>SUMMARY</vt:lpstr>
      <vt:lpstr>Assawoman!Print_Area</vt:lpstr>
      <vt:lpstr>'BLANK NLM - English'!Print_Area</vt:lpstr>
      <vt:lpstr>'BLANK NLM - Metric'!Print_Area</vt:lpstr>
      <vt:lpstr>Bogues!Print_Area</vt:lpstr>
      <vt:lpstr>Bradford!Print_Area</vt:lpstr>
      <vt:lpstr>Burtons!Print_Area</vt:lpstr>
      <vt:lpstr>Chincoteague!Print_Area</vt:lpstr>
      <vt:lpstr>Gargathy!Print_Area</vt:lpstr>
      <vt:lpstr>'Hog Island'!Print_Area</vt:lpstr>
      <vt:lpstr>'Indian River'!Print_Area</vt:lpstr>
      <vt:lpstr>'Isle of Wight'!Print_Area</vt:lpstr>
      <vt:lpstr>Kegotank!Print_Area</vt:lpstr>
      <vt:lpstr>'Little Assawoman'!Print_Area</vt:lpstr>
      <vt:lpstr>Magothy!Print_Area</vt:lpstr>
      <vt:lpstr>Metompkin!Print_Area</vt:lpstr>
      <vt:lpstr>Mockhorn!Print_Area</vt:lpstr>
      <vt:lpstr>Mosquito!Print_Area</vt:lpstr>
      <vt:lpstr>Newport!Print_Area</vt:lpstr>
      <vt:lpstr>'North Burtons'!Print_Area</vt:lpstr>
      <vt:lpstr>'Oyster-Womans'!Print_Area</vt:lpstr>
      <vt:lpstr>Ramshorn!Print_Area</vt:lpstr>
      <vt:lpstr>Rehoboth!Print_Area</vt:lpstr>
      <vt:lpstr>Simoneaston!Print_Area</vt:lpstr>
      <vt:lpstr>Sinepuxent!Print_Area</vt:lpstr>
      <vt:lpstr>'St. Martins'!Print_Area</vt:lpstr>
      <vt:lpstr>Turville!Print_Area</vt:lpstr>
      <vt:lpstr>Upshur!Print_Area</vt:lpstr>
    </vt:vector>
  </TitlesOfParts>
  <Company>VIMS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jcpole</dc:creator>
  <cp:lastModifiedBy>Mark Brush</cp:lastModifiedBy>
  <cp:lastPrinted>2014-09-21T17:57:23Z</cp:lastPrinted>
  <dcterms:created xsi:type="dcterms:W3CDTF">2010-02-18T17:39:28Z</dcterms:created>
  <dcterms:modified xsi:type="dcterms:W3CDTF">2015-08-13T20:43:52Z</dcterms:modified>
</cp:coreProperties>
</file>